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8B2A79AD-ECDB-D549-9861-44E4EDD2DAAD}" xr6:coauthVersionLast="47" xr6:coauthVersionMax="47" xr10:uidLastSave="{00000000-0000-0000-0000-000000000000}"/>
  <bookViews>
    <workbookView xWindow="0" yWindow="0" windowWidth="32000" windowHeight="20000" activeTab="3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97" i="13" l="1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123" i="13" l="1"/>
  <c r="C167" i="13"/>
  <c r="C175" i="13" s="1"/>
  <c r="C178" i="13" s="1"/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2" i="35"/>
  <c r="D113" i="35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2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21" i="13"/>
  <c r="H120" i="13"/>
  <c r="H118" i="13"/>
  <c r="E32" i="13"/>
  <c r="H119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F575" i="4"/>
  <c r="C515" i="4"/>
  <c r="C496" i="4"/>
  <c r="G539" i="4"/>
  <c r="C583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J462" i="4"/>
  <c r="J457" i="4"/>
  <c r="E429" i="34"/>
  <c r="J452" i="4"/>
  <c r="H41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99" i="4"/>
  <c r="H352" i="4"/>
  <c r="F398" i="4"/>
  <c r="B275" i="13"/>
  <c r="H353" i="4"/>
  <c r="H349" i="4"/>
  <c r="G65" i="27"/>
  <c r="F380" i="4"/>
  <c r="C122" i="24"/>
  <c r="H351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<sst xmlns="http://schemas.openxmlformats.org/spreadsheetml/2006/main" count="4884" uniqueCount="3196">
  <si>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</si>
  <si>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</si>
  <si>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</si>
  <si>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</si>
  <si>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</si>
  <si>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</si>
  <si>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</si>
  <si>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</si>
  <si>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</si>
  <si>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</si>
  <si>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</si>
  <si>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</si>
  <si>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</si>
  <si>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</si>
  <si>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</si>
  <si>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</si>
  <si>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</si>
  <si>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</si>
  <si>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</si>
  <si>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</si>
  <si>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</si>
  <si>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</si>
  <si>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</si>
  <si>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</si>
  <si>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</si>
  <si>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</si>
  <si>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</si>
  <si>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</si>
  <si>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</si>
  <si>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</si>
  <si>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</si>
  <si>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</si>
  <si>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</si>
  <si>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</si>
  <si>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</si>
  <si>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</si>
  <si>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</si>
  <si>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</si>
  <si>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</si>
  <si>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</si>
  <si>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</si>
  <si>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</si>
  <si>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</si>
  <si>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</si>
  <si>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</si>
  <si>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</si>
  <si>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</si>
  <si>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</si>
  <si>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</si>
  <si>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</si>
  <si>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</si>
  <si>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</si>
  <si>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</si>
  <si>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</si>
  <si>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</si>
  <si>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</si>
  <si>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</si>
  <si>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</si>
  <si>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</si>
  <si>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</si>
  <si>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</si>
  <si>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</si>
  <si>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</si>
  <si>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</si>
  <si>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</si>
  <si>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</si>
  <si>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</si>
  <si>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</si>
  <si>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</si>
  <si>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</si>
  <si>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</si>
  <si>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</si>
  <si>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</si>
  <si>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</si>
  <si>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</si>
  <si>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</si>
  <si>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</si>
  <si>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</si>
  <si>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</si>
  <si>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</si>
  <si>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</si>
  <si>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</si>
  <si>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</si>
  <si>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</si>
  <si>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</si>
  <si>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</si>
  <si>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</si>
  <si>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</si>
  <si>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</si>
  <si>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</si>
  <si>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</si>
  <si>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</si>
  <si>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</si>
  <si>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</si>
  <si>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</si>
  <si>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</si>
  <si>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</si>
  <si>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</si>
  <si>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</si>
  <si>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</si>
  <si>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</si>
  <si>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</si>
  <si>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</si>
  <si>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</si>
  <si>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</si>
  <si>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</si>
  <si>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</si>
  <si>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</si>
  <si>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</si>
  <si>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</si>
  <si>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</si>
  <si>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</si>
  <si>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</si>
  <si>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</si>
  <si>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</si>
  <si>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</si>
  <si>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</si>
  <si>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</si>
  <si>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</si>
  <si>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</si>
  <si>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</si>
  <si>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</si>
  <si>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</si>
  <si>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</si>
  <si>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</si>
  <si>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</si>
  <si>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</si>
  <si>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</si>
  <si>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</si>
  <si>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</si>
  <si>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</si>
  <si>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</si>
  <si>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</si>
  <si>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</si>
  <si>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</si>
  <si>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</si>
  <si>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</si>
  <si>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</si>
  <si>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</si>
  <si>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</si>
  <si>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</si>
  <si>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</si>
  <si>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</si>
  <si>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</si>
  <si>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</si>
  <si>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</si>
  <si>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</si>
  <si>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</si>
  <si>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</si>
  <si>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</si>
  <si>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</si>
  <si>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</si>
  <si>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</si>
  <si>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</si>
  <si>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</si>
  <si>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</si>
  <si>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</si>
  <si>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</si>
  <si>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</si>
  <si>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</si>
  <si>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</si>
  <si>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</si>
  <si>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</si>
  <si>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</si>
  <si>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</si>
  <si>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</si>
  <si>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</si>
  <si>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</si>
  <si>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</si>
  <si>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</si>
  <si>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</si>
  <si>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</si>
  <si>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</si>
  <si>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</si>
  <si>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</si>
  <si>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</si>
  <si>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</si>
  <si>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</si>
  <si>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</si>
  <si>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</si>
  <si>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</si>
  <si>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</si>
  <si>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</si>
  <si>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</si>
  <si>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</si>
  <si>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</si>
  <si>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</si>
  <si>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</si>
  <si>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</si>
  <si>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</si>
  <si>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</si>
  <si>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</si>
  <si>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</si>
  <si>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</si>
  <si>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</si>
  <si>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</si>
  <si>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</si>
  <si>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</si>
  <si>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</si>
  <si>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</si>
  <si>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</si>
  <si>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</si>
  <si>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</si>
  <si>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</si>
  <si>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</si>
  <si>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</si>
  <si>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</si>
  <si>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</si>
  <si>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</si>
  <si>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</si>
  <si>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</si>
  <si>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</si>
  <si>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</si>
  <si>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</si>
  <si>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</si>
  <si>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</si>
  <si>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</si>
  <si>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</si>
  <si>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</si>
  <si>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</si>
  <si>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</si>
  <si>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</si>
  <si>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</si>
  <si>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</si>
  <si>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</si>
  <si>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</si>
  <si>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</si>
  <si>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</si>
  <si>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</si>
  <si>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</si>
  <si>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</si>
  <si>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</si>
  <si>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</si>
  <si>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</si>
  <si>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</si>
  <si>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</si>
  <si>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</si>
  <si>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</si>
  <si>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</si>
  <si>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</si>
  <si>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</si>
  <si>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</si>
  <si>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</si>
  <si>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</si>
  <si>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</si>
  <si>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</si>
  <si>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</si>
  <si>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</si>
  <si>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</si>
  <si>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</si>
  <si>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</si>
  <si>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</si>
  <si>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</si>
  <si>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</si>
  <si>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</si>
  <si>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</si>
  <si>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</si>
  <si>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</si>
  <si>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</si>
  <si>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</si>
  <si>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</si>
  <si>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</si>
  <si>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</si>
  <si>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</si>
  <si>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</si>
  <si>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</si>
  <si>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</si>
  <si>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</si>
  <si>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</si>
  <si>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</si>
  <si>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</si>
  <si>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</si>
  <si>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</si>
  <si>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</si>
  <si>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</si>
  <si>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</si>
  <si>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</si>
  <si>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</si>
  <si>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</si>
  <si>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</si>
  <si>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</si>
  <si>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</si>
  <si>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</si>
  <si>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</si>
  <si>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</si>
  <si>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</si>
  <si>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</si>
  <si>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</si>
  <si>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</si>
  <si>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</si>
  <si>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</si>
  <si>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</si>
  <si>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</si>
  <si>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</si>
  <si>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</si>
  <si>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</si>
  <si>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</si>
  <si>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</si>
  <si>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</si>
  <si>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</si>
  <si>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</si>
  <si>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</si>
  <si>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</si>
  <si>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</si>
  <si>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</si>
  <si>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</si>
  <si>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</si>
  <si>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</si>
  <si>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</si>
  <si>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</si>
  <si>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</si>
  <si>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</si>
  <si>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</si>
  <si>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</si>
  <si>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</si>
  <si>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</si>
  <si>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</si>
  <si>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</si>
  <si>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</si>
  <si>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</si>
  <si>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</si>
  <si>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</si>
  <si>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</si>
  <si>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</si>
  <si>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</si>
  <si>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</si>
  <si>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</si>
  <si>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</si>
  <si>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</si>
  <si>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</si>
  <si>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</si>
  <si>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</si>
  <si>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</si>
  <si>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</si>
  <si>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</si>
  <si>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</si>
  <si>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</si>
  <si>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</si>
  <si>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</si>
  <si>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</si>
  <si>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</si>
  <si>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</si>
  <si>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</si>
  <si>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</si>
  <si>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</si>
  <si>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</si>
  <si>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</si>
  <si>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</si>
  <si>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</si>
  <si>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</si>
  <si>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</si>
  <si>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</si>
  <si>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</si>
  <si>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</si>
  <si>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</si>
  <si>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</si>
  <si>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</si>
  <si>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</si>
  <si>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</si>
  <si>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</si>
  <si>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</si>
  <si>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</si>
  <si>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</si>
  <si>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</si>
  <si>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</si>
  <si>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</si>
  <si>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</si>
  <si>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</si>
  <si>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</si>
  <si>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</si>
  <si>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</si>
  <si>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</si>
  <si>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</si>
  <si>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</si>
  <si>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</si>
  <si>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</si>
  <si>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</si>
  <si>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</si>
  <si>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</si>
  <si>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</si>
  <si>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</si>
  <si>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</si>
  <si>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</si>
  <si>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</si>
  <si>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</si>
  <si>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</si>
  <si>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</si>
  <si>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</si>
  <si>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</si>
  <si>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</si>
  <si>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</si>
  <si>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</si>
  <si>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</si>
  <si>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</si>
  <si>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</si>
  <si>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</si>
  <si>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</si>
  <si>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</si>
  <si>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</si>
  <si>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</si>
  <si>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</si>
  <si>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</si>
  <si>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</si>
  <si>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</si>
  <si>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</si>
  <si>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</si>
  <si>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</si>
  <si>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</si>
  <si>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</si>
  <si>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</si>
  <si>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</si>
  <si>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</si>
  <si>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</si>
  <si>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</si>
  <si>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</si>
  <si>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</si>
  <si>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</si>
  <si>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</si>
  <si>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</si>
  <si>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</si>
  <si>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</si>
  <si>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</si>
  <si>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</si>
  <si>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</si>
  <si>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</si>
  <si>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</si>
  <si>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</si>
  <si>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</si>
  <si>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</si>
  <si>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</si>
  <si>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</si>
  <si>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</si>
  <si>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</si>
  <si>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</si>
  <si>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</si>
  <si>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</si>
  <si>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</si>
  <si>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</si>
  <si>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</si>
  <si>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</si>
  <si>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</si>
  <si>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</si>
  <si>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</si>
  <si>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</si>
  <si>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</si>
  <si>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</si>
  <si>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</si>
  <si>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</si>
  <si>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</si>
  <si>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</si>
  <si>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</si>
  <si>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</si>
  <si>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</si>
  <si>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</si>
  <si>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</si>
  <si>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</si>
  <si>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</si>
  <si>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</si>
  <si>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</si>
  <si>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</si>
  <si>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</si>
  <si>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</si>
  <si>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</si>
  <si>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</si>
  <si>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</si>
  <si>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</si>
  <si>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</si>
  <si>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</si>
  <si>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</si>
  <si>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</si>
  <si>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</si>
  <si>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</si>
  <si>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</si>
  <si>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</si>
  <si>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</si>
  <si>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</si>
  <si>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</si>
  <si>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</si>
  <si>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</si>
  <si>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</si>
  <si>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</si>
  <si>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</si>
  <si>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</si>
  <si>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</si>
  <si>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</si>
  <si>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</si>
  <si>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</si>
  <si>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</si>
  <si>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</si>
  <si>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</si>
  <si>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</si>
  <si>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</si>
  <si>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</si>
  <si>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</si>
  <si>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</si>
  <si>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</si>
  <si>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</si>
  <si>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</si>
  <si>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</si>
  <si>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</si>
  <si>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</si>
  <si>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</si>
  <si>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</si>
  <si>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</si>
  <si>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</si>
  <si>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</si>
  <si>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</si>
  <si>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</si>
  <si>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</si>
  <si>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</si>
  <si>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</si>
  <si>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</si>
  <si>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</si>
  <si>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</si>
  <si>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</si>
  <si>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</si>
  <si>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</si>
  <si>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</si>
  <si>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</si>
  <si>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</si>
  <si>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</si>
  <si>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</si>
  <si>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</si>
  <si>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</si>
  <si>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</si>
  <si>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</si>
  <si>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</si>
  <si>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</si>
  <si>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</si>
  <si>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</si>
  <si>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</si>
  <si>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</si>
  <si>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</si>
  <si>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</si>
  <si>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</si>
  <si>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</si>
  <si>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</si>
  <si>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</si>
  <si>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</si>
  <si>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</si>
  <si>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</si>
  <si>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</si>
  <si>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</si>
  <si>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</si>
  <si>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</si>
  <si>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</si>
  <si>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</si>
  <si>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</si>
  <si>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</si>
  <si>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</si>
  <si>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</si>
  <si>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</si>
  <si>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</si>
  <si>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</si>
  <si>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</si>
  <si>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</si>
  <si>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</si>
  <si>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</si>
  <si>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</si>
  <si>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</si>
  <si>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</si>
  <si>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</si>
  <si>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</si>
  <si>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</si>
  <si>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</si>
  <si>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</si>
  <si>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</si>
  <si>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</si>
  <si>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</si>
  <si>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</si>
  <si>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</si>
  <si>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</si>
  <si>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</si>
  <si>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</si>
  <si>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</si>
  <si>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</si>
  <si>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</si>
  <si>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</si>
  <si>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</si>
  <si>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</si>
  <si>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</si>
  <si>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</si>
  <si>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</si>
  <si>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</si>
  <si>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</si>
  <si>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</si>
  <si>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</si>
  <si>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</si>
  <si>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</si>
  <si>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</si>
  <si>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</si>
  <si>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</si>
  <si>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</si>
  <si>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</si>
  <si>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</si>
  <si>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</si>
  <si>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</si>
  <si>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</si>
  <si>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</si>
  <si>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</si>
  <si>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</si>
  <si>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</si>
  <si>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</si>
  <si>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</si>
  <si>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</si>
  <si>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</si>
  <si>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</si>
  <si>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</si>
  <si>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</si>
  <si>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</si>
  <si>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</si>
  <si>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</si>
  <si>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</si>
  <si>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</si>
  <si>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</si>
  <si>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</si>
  <si>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</si>
  <si>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</si>
  <si>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</si>
  <si>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</si>
  <si>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</si>
  <si>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</si>
  <si>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</si>
  <si>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</si>
  <si>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</si>
  <si>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</si>
  <si>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</si>
  <si>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</si>
  <si>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</si>
  <si>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</si>
  <si>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</si>
  <si>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</si>
  <si>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</si>
  <si>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</si>
  <si>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</si>
  <si>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</si>
  <si>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</si>
  <si>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</si>
  <si>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</si>
  <si>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</si>
  <si>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</si>
  <si>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</si>
  <si>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</si>
  <si>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</si>
  <si>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</si>
  <si>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</si>
  <si>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</si>
  <si>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</si>
  <si>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</si>
  <si>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</si>
  <si>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</si>
  <si>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</si>
  <si>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</si>
  <si>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</si>
  <si>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</si>
  <si>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</si>
  <si>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</si>
  <si>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</si>
  <si>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</si>
  <si>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</si>
  <si>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</si>
  <si>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</si>
  <si>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</si>
  <si>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</si>
  <si>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</si>
  <si>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</si>
  <si>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</si>
  <si>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</si>
  <si>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</si>
  <si>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</si>
  <si>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</si>
  <si>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</si>
  <si>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</si>
  <si>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</si>
  <si>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</si>
  <si>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</si>
  <si>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</si>
  <si>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</si>
  <si>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</si>
  <si>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</si>
  <si>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</si>
  <si>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</si>
  <si>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</si>
  <si>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</si>
  <si>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</si>
  <si>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</si>
  <si>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</si>
  <si>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</si>
  <si>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</si>
  <si>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</si>
  <si>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</si>
  <si>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</si>
  <si>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</si>
  <si>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</si>
  <si>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</si>
  <si>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</si>
  <si>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</si>
  <si>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</si>
  <si>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</si>
  <si>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</si>
  <si>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</si>
  <si>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</si>
  <si>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</si>
  <si>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</si>
  <si>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</si>
  <si>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</si>
  <si>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</si>
  <si>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</si>
  <si>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</si>
  <si>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</si>
  <si>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</si>
  <si>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</si>
  <si>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</si>
  <si>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</si>
  <si>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</si>
  <si>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</si>
  <si>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</si>
  <si>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</si>
  <si>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</si>
  <si>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</si>
  <si>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</si>
  <si>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</si>
  <si>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</si>
  <si>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</si>
  <si>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</si>
  <si>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</si>
  <si>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</si>
  <si>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</si>
  <si>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</si>
  <si>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</si>
  <si>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</si>
  <si>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</si>
  <si>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</si>
  <si>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</si>
  <si>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</si>
  <si>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</si>
  <si>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</si>
  <si>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</si>
  <si>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</si>
  <si>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</si>
  <si>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</si>
  <si>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</si>
  <si>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</si>
  <si>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</si>
  <si>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</si>
  <si>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</si>
  <si>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</si>
  <si>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</si>
  <si>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</si>
  <si>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</si>
  <si>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</si>
  <si>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</si>
  <si>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</si>
  <si>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</si>
  <si>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</si>
  <si>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</si>
  <si>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</si>
  <si>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</si>
  <si>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</si>
  <si>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</si>
  <si>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</si>
  <si>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</si>
  <si>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</si>
  <si>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</si>
  <si>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</si>
  <si>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</si>
  <si>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</si>
  <si>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</si>
  <si>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</si>
  <si>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</si>
  <si>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</si>
  <si>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</si>
  <si>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</si>
  <si>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</si>
  <si>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</si>
  <si>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</si>
  <si>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</si>
  <si>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</si>
  <si>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</si>
  <si>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</si>
  <si>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</si>
  <si>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</si>
  <si>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</si>
  <si>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</si>
  <si>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</si>
  <si>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</si>
  <si>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</si>
  <si>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</si>
  <si>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</si>
  <si>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</si>
  <si>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</si>
  <si>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</si>
  <si>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</si>
  <si>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</si>
  <si>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</si>
  <si>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</si>
  <si>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</si>
  <si>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</si>
  <si>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</si>
  <si>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</si>
  <si>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</si>
  <si>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</si>
  <si>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</si>
  <si>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</si>
  <si>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</si>
  <si>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</si>
  <si>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</si>
  <si>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</si>
  <si>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</si>
  <si>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</si>
  <si>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</si>
  <si>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</si>
  <si>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</si>
  <si>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</si>
  <si>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</si>
  <si>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</si>
  <si>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</si>
  <si>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</si>
  <si>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</si>
  <si>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</si>
  <si>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</si>
  <si>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</si>
  <si>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</si>
  <si>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</si>
  <si>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</si>
  <si>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</si>
  <si>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</si>
  <si>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</si>
  <si>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</si>
  <si>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</si>
  <si>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</si>
  <si>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</si>
  <si>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</si>
  <si>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</si>
  <si>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</si>
  <si>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</si>
  <si>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</si>
  <si>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</si>
  <si>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</si>
  <si>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</si>
  <si>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</si>
  <si>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</si>
  <si>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</si>
  <si>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</si>
  <si>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</si>
  <si>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</si>
  <si>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</si>
  <si>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</si>
  <si>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</si>
  <si>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</si>
  <si>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</si>
  <si>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</si>
  <si>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</si>
  <si>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</si>
  <si>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</si>
  <si>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</si>
  <si>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</si>
  <si>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</si>
  <si>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</si>
  <si>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</si>
  <si>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</si>
  <si>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</si>
  <si>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</si>
  <si>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</si>
  <si>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</si>
  <si>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</si>
  <si>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</si>
  <si>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</si>
  <si>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</si>
  <si>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</si>
  <si>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</si>
  <si>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</si>
  <si>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</si>
  <si>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</si>
  <si>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</si>
  <si>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</si>
  <si>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</si>
  <si>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</si>
  <si>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</si>
  <si>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</si>
  <si>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</si>
  <si>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</si>
  <si>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</si>
  <si>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</si>
  <si>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</si>
  <si>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</si>
  <si>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</si>
  <si>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</si>
  <si>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</si>
  <si>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</si>
  <si>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</si>
  <si>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</si>
  <si>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</si>
  <si>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</si>
  <si>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</si>
  <si>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</si>
  <si>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</si>
  <si>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</si>
  <si>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</si>
  <si>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</si>
  <si>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</si>
  <si>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</si>
  <si>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</si>
  <si>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</si>
  <si>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</si>
  <si>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</si>
  <si>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</si>
  <si>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</si>
  <si>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</si>
  <si>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</si>
  <si>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</si>
  <si>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</si>
  <si>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</si>
  <si>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</si>
  <si>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</si>
  <si>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</si>
  <si>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</si>
  <si>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</si>
  <si>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</si>
  <si>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</si>
  <si>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</si>
  <si>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</si>
  <si>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</si>
  <si>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</si>
  <si>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</si>
  <si>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</si>
  <si>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</si>
  <si>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</si>
  <si>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</si>
  <si>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</si>
  <si>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</si>
  <si>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</si>
  <si>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</si>
  <si>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</si>
  <si>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</si>
  <si>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</si>
  <si>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</si>
  <si>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</si>
  <si>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</si>
  <si>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</si>
  <si>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</si>
  <si>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</si>
  <si>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</si>
  <si>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</si>
  <si>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</si>
  <si>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</si>
  <si>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</si>
  <si>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</si>
  <si>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</si>
  <si>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</si>
  <si>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</si>
  <si>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</si>
  <si>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</si>
  <si>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</si>
  <si>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</si>
  <si>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</si>
  <si>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</si>
  <si>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</si>
  <si>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</si>
  <si>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</si>
  <si>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</si>
  <si>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</si>
  <si>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</si>
  <si>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</si>
  <si>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</si>
  <si>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</si>
  <si>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</si>
  <si>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</si>
  <si>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</si>
  <si>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</si>
  <si>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</si>
  <si>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</si>
  <si>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</si>
  <si>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</si>
  <si>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</si>
  <si>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</si>
  <si>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</si>
  <si>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</si>
  <si>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</si>
  <si>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</si>
  <si>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</si>
  <si>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</si>
  <si>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</si>
  <si>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</si>
  <si>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</si>
  <si>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</si>
  <si>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</si>
  <si>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</si>
  <si>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</si>
  <si>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</si>
  <si>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</si>
  <si>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</si>
  <si>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</si>
  <si>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</si>
  <si>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</si>
  <si>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</si>
  <si>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</si>
  <si>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</si>
  <si>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</si>
  <si>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</si>
  <si>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</si>
  <si>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</si>
  <si>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</si>
  <si>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</si>
  <si>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</si>
  <si>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</si>
  <si>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</si>
  <si>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</si>
  <si>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</si>
  <si>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</si>
  <si>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</si>
  <si>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</si>
  <si>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</si>
  <si>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</si>
  <si>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</si>
  <si>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</si>
  <si>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</si>
  <si>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</si>
  <si>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</si>
  <si>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</si>
  <si>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</si>
  <si>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</si>
  <si>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</si>
  <si>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</si>
  <si>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</si>
  <si>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</si>
  <si>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</si>
  <si>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</si>
  <si>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</si>
  <si>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</si>
  <si>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</si>
  <si>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</si>
  <si>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</si>
  <si>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</si>
  <si>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</si>
  <si>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</si>
  <si>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</si>
  <si>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</si>
  <si>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</si>
  <si>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</si>
  <si>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</si>
  <si>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</si>
  <si>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</si>
  <si>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</si>
  <si>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</si>
  <si>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</si>
  <si>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</si>
  <si>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</si>
  <si>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</si>
  <si>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</si>
  <si>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</si>
  <si>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</si>
  <si>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</si>
  <si>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</si>
  <si>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</si>
  <si>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</si>
  <si>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</si>
  <si>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</si>
  <si>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</si>
  <si>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</si>
  <si>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</si>
  <si>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</si>
  <si>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</si>
  <si>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</si>
  <si>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</si>
  <si>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</si>
  <si>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</si>
  <si>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</si>
  <si>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</si>
  <si>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</si>
  <si>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</si>
  <si>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</si>
  <si>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</si>
  <si>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</si>
  <si>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</si>
  <si>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</si>
  <si>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</si>
  <si>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</si>
  <si>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</si>
  <si>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</si>
  <si>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</si>
  <si>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</si>
  <si>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</si>
  <si>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</si>
  <si>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</si>
  <si>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</si>
  <si>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</si>
  <si>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</si>
  <si>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</si>
  <si>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</si>
  <si>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</si>
  <si>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</si>
  <si>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</si>
  <si>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</si>
  <si>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</si>
  <si>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</si>
  <si>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</si>
  <si>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</si>
  <si>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</si>
  <si>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</si>
  <si>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</si>
  <si>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</si>
  <si>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</si>
  <si>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</si>
  <si>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</si>
  <si>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</si>
  <si>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</si>
  <si>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</si>
  <si>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</si>
  <si>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</si>
  <si>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</si>
  <si>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</si>
  <si>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</si>
  <si>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</si>
  <si>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</si>
  <si>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</si>
  <si>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</si>
  <si>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</si>
  <si>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</si>
  <si>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</si>
  <si>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</si>
  <si>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</si>
  <si>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</si>
  <si>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</si>
  <si>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</si>
  <si>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</si>
  <si>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</si>
  <si>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</si>
  <si>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</si>
  <si>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</si>
  <si>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</si>
  <si>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</si>
  <si>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</si>
  <si>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</si>
  <si>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</si>
  <si>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</si>
  <si>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</si>
  <si>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</si>
  <si>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</si>
  <si>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</si>
  <si>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</si>
  <si>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</si>
  <si>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</si>
  <si>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</si>
  <si>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</si>
  <si>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</si>
  <si>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</si>
  <si>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</si>
  <si>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</si>
  <si>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</si>
  <si>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</si>
  <si>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</si>
  <si>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</si>
  <si>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</si>
  <si>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</si>
  <si>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</si>
  <si>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</si>
  <si>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</si>
  <si>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</si>
  <si>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</si>
  <si>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</si>
  <si>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</si>
  <si>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</si>
  <si>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</si>
  <si>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</si>
  <si>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</si>
  <si>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</si>
  <si>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</si>
  <si>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</si>
  <si>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</si>
  <si>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</si>
  <si>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</si>
  <si>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</si>
  <si>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</si>
  <si>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</si>
  <si>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</si>
  <si>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</si>
  <si>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</si>
  <si>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</si>
  <si>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</si>
  <si>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</si>
  <si>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</si>
  <si>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</si>
  <si>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</si>
  <si>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</si>
  <si>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</si>
  <si>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</si>
  <si>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</si>
  <si>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</si>
  <si>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</si>
  <si>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</si>
  <si>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</si>
  <si>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</si>
  <si>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</si>
  <si>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</si>
  <si>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</si>
  <si>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</si>
  <si>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</si>
  <si>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</si>
  <si>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</si>
  <si>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</si>
  <si>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</si>
  <si>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</si>
  <si>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</si>
  <si>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</si>
  <si>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</si>
  <si>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</si>
  <si>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</si>
  <si>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</si>
  <si>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</si>
  <si>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</si>
  <si>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</si>
  <si>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</si>
  <si>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</si>
  <si>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</si>
  <si>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</si>
  <si>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</si>
  <si>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</si>
  <si>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</si>
  <si>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</si>
  <si>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</si>
  <si>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</si>
  <si>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</si>
  <si>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</si>
  <si>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</si>
  <si>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</si>
  <si>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</si>
  <si>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</si>
  <si>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</si>
  <si>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</si>
  <si>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</si>
  <si>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</si>
  <si>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</si>
  <si>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</si>
  <si>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</si>
  <si>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</si>
  <si>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</si>
  <si>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</si>
  <si>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</si>
  <si>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</si>
  <si>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</si>
  <si>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</si>
  <si>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</si>
  <si>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</si>
  <si>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</si>
  <si>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</si>
  <si>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</si>
  <si>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</si>
  <si>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</si>
  <si>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</si>
  <si>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</si>
  <si>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</si>
  <si>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</si>
  <si>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</si>
  <si>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</si>
  <si>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</si>
  <si>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</si>
  <si>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</si>
  <si>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</si>
  <si>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</si>
  <si>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</si>
  <si>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</si>
  <si>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</si>
  <si>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</si>
  <si>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</si>
  <si>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</si>
  <si>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</si>
  <si>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</si>
  <si>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</si>
  <si>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</si>
  <si>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</si>
  <si>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</si>
  <si>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</si>
  <si>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</si>
  <si>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</si>
  <si>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</si>
  <si>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</si>
  <si>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</si>
  <si>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</si>
  <si>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</si>
  <si>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</si>
  <si>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</si>
  <si>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</si>
  <si>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</si>
  <si>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</si>
  <si>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</si>
  <si>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</si>
  <si>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</si>
  <si>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</si>
  <si>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</si>
  <si>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</si>
  <si>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</si>
  <si>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</si>
  <si>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</si>
  <si>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</si>
  <si>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</si>
  <si>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</si>
  <si>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</si>
  <si>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</si>
  <si>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</si>
  <si>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</si>
  <si>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</si>
  <si>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</si>
  <si>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</si>
  <si>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</si>
  <si>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</si>
  <si>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</si>
  <si>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</si>
  <si>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</si>
  <si>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</si>
  <si>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</si>
  <si>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</si>
  <si>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</si>
  <si>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</si>
  <si>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</si>
  <si>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</si>
  <si>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</si>
  <si>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</si>
  <si>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</si>
  <si>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</si>
  <si>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</si>
  <si>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</si>
  <si>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</si>
  <si>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</si>
  <si>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</si>
  <si>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</si>
  <si>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</si>
  <si>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</si>
  <si>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</si>
  <si>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</si>
  <si>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</si>
  <si>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</si>
  <si>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</si>
  <si>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</si>
  <si>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</si>
  <si>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</si>
  <si>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</si>
  <si>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</si>
  <si>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</si>
  <si>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</si>
  <si>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</si>
  <si>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</si>
  <si>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</si>
  <si>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</si>
  <si>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</si>
  <si>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</si>
  <si>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</si>
  <si>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</si>
  <si>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</si>
  <si>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</si>
  <si>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</si>
  <si>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</si>
  <si>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</si>
  <si>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</si>
  <si>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</si>
  <si>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</si>
  <si>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</si>
  <si>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</si>
  <si>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</si>
  <si>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</si>
  <si>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</si>
  <si>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</si>
  <si>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</si>
  <si>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</si>
  <si>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</si>
  <si>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</si>
  <si>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</si>
  <si>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</si>
  <si>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</si>
  <si>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</si>
  <si>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</si>
  <si>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</si>
  <si>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</si>
  <si>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</si>
  <si>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</si>
  <si>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</si>
  <si>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</si>
  <si>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</si>
  <si>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</si>
  <si>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</si>
  <si>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</si>
  <si>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</si>
  <si>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</si>
  <si>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</si>
  <si>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</si>
  <si>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</si>
  <si>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</si>
  <si>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</si>
  <si>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</si>
  <si>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</si>
  <si>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</si>
  <si>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</si>
  <si>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</si>
  <si>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</si>
  <si>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</si>
  <si>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</si>
  <si>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</si>
  <si>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</si>
  <si>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</si>
  <si>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</si>
  <si>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</si>
  <si>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</si>
  <si>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</si>
  <si>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</si>
  <si>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</si>
  <si>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</si>
  <si>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</si>
  <si>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</si>
  <si>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</si>
  <si>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</si>
  <si>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</si>
  <si>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</si>
  <si>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</si>
  <si>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</si>
  <si>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</si>
  <si>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</si>
  <si>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</si>
  <si>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</si>
  <si>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</si>
  <si>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</si>
  <si>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</si>
  <si>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</si>
  <si>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</si>
  <si>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</si>
  <si>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</si>
  <si>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</si>
  <si>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</si>
  <si>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</si>
  <si>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</si>
  <si>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</si>
  <si>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</si>
  <si>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</si>
  <si>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</si>
  <si>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</si>
  <si>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</si>
  <si>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</si>
  <si>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</si>
  <si>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</si>
  <si>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</si>
  <si>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</si>
  <si>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</si>
  <si>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</si>
  <si>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</si>
  <si>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</si>
  <si>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</si>
  <si>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</si>
  <si>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</si>
  <si>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</si>
  <si>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</si>
  <si>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</si>
  <si>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</si>
  <si>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</si>
  <si>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</si>
  <si>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</si>
  <si>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</si>
  <si>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</si>
  <si>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</si>
  <si>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</si>
  <si>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</si>
  <si>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</si>
  <si>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</si>
  <si>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</si>
  <si>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</si>
  <si>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</si>
  <si>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</si>
  <si>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</si>
  <si>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</si>
  <si>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</si>
  <si>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</si>
  <si>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</si>
  <si>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</si>
  <si>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</si>
  <si>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</si>
  <si>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</si>
  <si>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</si>
  <si>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</si>
  <si>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</si>
  <si>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</si>
  <si>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</si>
  <si>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</si>
  <si>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</si>
  <si>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</si>
  <si>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</si>
  <si>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</si>
  <si>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</si>
  <si>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</si>
  <si>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</si>
  <si>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</si>
  <si>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</si>
  <si>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</si>
  <si>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</si>
  <si>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</si>
  <si>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</si>
  <si>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</si>
  <si>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</si>
  <si>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</si>
  <si>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</si>
  <si>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</si>
  <si>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</si>
  <si>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</si>
  <si>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</si>
  <si>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</si>
  <si>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</si>
  <si>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</si>
  <si>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</si>
  <si>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</si>
  <si>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</si>
  <si>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</si>
  <si>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</si>
  <si>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</si>
  <si>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</si>
  <si>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</si>
  <si>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</si>
  <si>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</si>
  <si>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</si>
  <si>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</si>
  <si>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</si>
  <si>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</si>
  <si>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</si>
  <si>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</si>
  <si>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</si>
  <si>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</si>
  <si>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</si>
  <si>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</si>
  <si>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</si>
  <si>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</si>
  <si>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</si>
  <si>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</si>
  <si>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</si>
  <si>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</si>
  <si>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</si>
  <si>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</si>
  <si>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</si>
  <si>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</si>
  <si>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</si>
  <si>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</si>
  <si>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</si>
  <si>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</si>
  <si>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</si>
  <si>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</si>
  <si>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</si>
  <si>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</si>
  <si>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</si>
  <si>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</si>
  <si>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</si>
  <si>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</si>
  <si>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</si>
  <si>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</si>
  <si>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</si>
  <si>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</si>
  <si>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</si>
  <si>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</si>
  <si>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</si>
  <si>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</si>
  <si>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</si>
  <si>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</si>
  <si>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</si>
  <si>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</si>
  <si>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</si>
  <si>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</si>
  <si>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</si>
  <si>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</si>
  <si>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</si>
  <si>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</si>
  <si>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</si>
  <si>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</si>
  <si>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</si>
  <si>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</si>
  <si>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</si>
  <si>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</si>
  <si>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</si>
  <si>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</si>
  <si>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</si>
  <si>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</si>
  <si>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</si>
  <si>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</si>
  <si>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</si>
  <si>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</si>
  <si>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</si>
  <si>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</si>
  <si>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</si>
  <si>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</si>
  <si>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</si>
  <si>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</si>
  <si>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</si>
  <si>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</si>
  <si>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</si>
  <si>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</si>
  <si>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</si>
  <si>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</si>
  <si>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</si>
  <si>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</si>
  <si>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</si>
  <si>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</si>
  <si>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</si>
  <si>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</si>
  <si>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</si>
  <si>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</si>
  <si>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</si>
  <si>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</si>
  <si>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</si>
  <si>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</si>
  <si>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</si>
  <si>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</si>
  <si>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</si>
  <si>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</si>
  <si>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</si>
  <si>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</si>
  <si>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</si>
  <si>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</si>
  <si>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</si>
  <si>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</si>
  <si>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</si>
  <si>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</si>
  <si>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</si>
  <si>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</si>
  <si>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</si>
  <si>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</si>
  <si>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</si>
  <si>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</si>
  <si>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</si>
  <si>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</si>
  <si>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</si>
  <si>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</si>
  <si>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</si>
  <si>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</si>
  <si>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</si>
  <si>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</si>
  <si>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</si>
  <si>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</si>
  <si>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</si>
  <si>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</si>
  <si>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</si>
  <si>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</si>
  <si>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</si>
  <si>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</si>
  <si>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</si>
  <si>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</si>
  <si>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</si>
  <si>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</si>
  <si>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</si>
  <si>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</si>
  <si>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</si>
  <si>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</si>
  <si>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</si>
  <si>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</si>
  <si>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</si>
  <si>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</si>
  <si>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</si>
  <si>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</si>
  <si>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</si>
  <si>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</si>
  <si>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</si>
  <si>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</si>
  <si>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</si>
  <si>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</si>
  <si>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</si>
  <si>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</si>
  <si>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</si>
  <si>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</si>
  <si>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</si>
  <si>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</si>
  <si>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</si>
  <si>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</si>
  <si>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</si>
  <si>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</si>
  <si>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</si>
  <si>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</si>
  <si>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</si>
  <si>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</si>
  <si>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</si>
  <si>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</si>
  <si>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</si>
  <si>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</si>
  <si>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</si>
  <si>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</si>
  <si>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</si>
  <si>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</si>
  <si>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</si>
  <si>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</si>
  <si>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</si>
  <si>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</si>
  <si>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</si>
  <si>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</si>
  <si>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</si>
  <si>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</si>
  <si>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</si>
  <si>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</si>
  <si>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</si>
  <si>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</si>
  <si>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</si>
  <si>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</si>
  <si>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</si>
  <si>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</si>
  <si>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</si>
  <si>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</si>
  <si>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</si>
  <si>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</si>
  <si>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</si>
  <si>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</si>
  <si>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</si>
  <si>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</si>
  <si>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</si>
  <si>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</si>
  <si>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</si>
  <si>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</si>
  <si>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</si>
  <si>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</si>
  <si>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</si>
  <si>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</si>
  <si>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</si>
  <si>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</si>
  <si>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</si>
  <si>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</si>
  <si>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</si>
  <si>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</si>
  <si>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</si>
  <si>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</si>
  <si>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</si>
  <si>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</si>
  <si>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</si>
  <si>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</si>
  <si>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</si>
  <si>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</si>
  <si>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</si>
  <si>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</si>
  <si>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</si>
  <si>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</si>
  <si>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</si>
  <si>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</si>
  <si>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</si>
  <si>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</si>
  <si>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</si>
  <si>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</si>
  <si>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</si>
  <si>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</si>
  <si>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</si>
  <si>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</si>
  <si>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</si>
  <si>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</si>
  <si>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</si>
  <si>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</si>
  <si>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</si>
  <si>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</si>
  <si>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</si>
  <si>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</si>
  <si>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</si>
  <si>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</si>
  <si>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</si>
  <si>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</si>
  <si>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</si>
  <si>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</si>
  <si>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</si>
  <si>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</si>
  <si>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</si>
  <si>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</si>
  <si>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</si>
  <si>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</si>
  <si>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</si>
  <si>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</si>
  <si>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</si>
  <si>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</si>
  <si>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</si>
  <si>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</si>
  <si>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</si>
  <si>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</si>
  <si>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</si>
  <si>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</si>
  <si>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</si>
  <si>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</si>
  <si>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</si>
  <si>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</si>
  <si>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</si>
  <si>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</si>
  <si>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</si>
  <si>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</si>
  <si>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</si>
  <si>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</si>
  <si>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</si>
  <si>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</si>
  <si>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</si>
  <si>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</si>
  <si>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</si>
  <si>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</si>
  <si>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</si>
  <si>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</si>
  <si>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</si>
  <si>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</si>
  <si>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</si>
  <si>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</si>
  <si>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</si>
  <si>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</si>
  <si>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</si>
  <si>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</si>
  <si>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</si>
  <si>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</si>
  <si>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</si>
  <si>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</si>
  <si>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</si>
  <si>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</si>
  <si>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</si>
  <si>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</si>
  <si>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</si>
  <si>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</si>
  <si>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</si>
  <si>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</si>
  <si>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</si>
  <si>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</si>
  <si>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</si>
  <si>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</si>
  <si>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</si>
  <si>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</si>
  <si>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</si>
  <si>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</si>
  <si>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</si>
  <si>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</si>
  <si>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</si>
  <si>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</si>
  <si>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</si>
  <si>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</si>
  <si>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</si>
  <si>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</si>
  <si>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</si>
  <si>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</si>
  <si>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</si>
  <si>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</si>
  <si>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</si>
  <si>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</si>
  <si>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</si>
  <si>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</si>
  <si>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</si>
  <si>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</si>
  <si>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</si>
  <si>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</si>
  <si>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</si>
  <si>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</si>
  <si>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</si>
  <si>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</si>
  <si>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</si>
  <si>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</si>
  <si>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</si>
  <si>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</si>
  <si>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</si>
  <si>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</si>
  <si>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</si>
  <si>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</si>
  <si>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</si>
  <si>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</si>
  <si>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</si>
  <si>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</si>
  <si>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</si>
  <si>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</si>
  <si>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</si>
  <si>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</si>
  <si>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</si>
  <si>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</si>
  <si>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</si>
  <si>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</si>
  <si>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</si>
  <si>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</si>
  <si>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</si>
  <si>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</si>
  <si>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</si>
  <si>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</si>
  <si>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</si>
  <si>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</si>
  <si>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</si>
  <si>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</si>
  <si>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</si>
  <si>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</si>
  <si>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</si>
  <si>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</si>
  <si>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</si>
  <si>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</si>
  <si>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</si>
  <si>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</si>
  <si>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</si>
  <si>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</si>
  <si>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</si>
  <si>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</si>
  <si>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</si>
  <si>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</si>
  <si>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</si>
  <si>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</si>
  <si>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</si>
  <si>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</si>
  <si>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</si>
  <si>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</si>
  <si>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</si>
  <si>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</si>
  <si>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</si>
  <si>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</si>
  <si>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</si>
  <si>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</si>
  <si>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</si>
  <si>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</si>
  <si>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</si>
  <si>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</si>
  <si>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</si>
  <si>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</si>
  <si>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</si>
  <si>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</si>
  <si>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</si>
  <si>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</si>
  <si>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</si>
  <si>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</si>
  <si>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</si>
  <si>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</si>
  <si>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</si>
  <si>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</si>
  <si>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</si>
  <si>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</si>
  <si>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</si>
  <si>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</si>
  <si>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</si>
  <si>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</si>
  <si>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</si>
  <si>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</si>
  <si>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</si>
  <si>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</si>
  <si>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</si>
  <si>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</si>
  <si>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</si>
  <si>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</si>
  <si>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</si>
  <si>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</si>
  <si>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</si>
  <si>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</si>
  <si>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</si>
  <si>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</si>
  <si>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</si>
  <si>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</si>
  <si>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</si>
  <si>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</si>
  <si>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</si>
  <si>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</si>
  <si>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</si>
  <si>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</si>
  <si>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</si>
  <si>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</si>
  <si>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</si>
  <si>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</si>
  <si>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</si>
  <si>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</si>
  <si>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</si>
  <si>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</si>
  <si>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</si>
  <si>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</si>
  <si>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</si>
  <si>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</si>
  <si>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</si>
  <si>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</si>
  <si>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</si>
  <si>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</si>
  <si>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</si>
  <si>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</si>
  <si>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</si>
  <si>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</si>
  <si>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</si>
  <si>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</si>
  <si>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</si>
  <si>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</si>
  <si>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</si>
  <si>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</si>
  <si>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</si>
  <si>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</si>
  <si>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</si>
  <si>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</si>
  <si>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</si>
  <si>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</si>
  <si>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</si>
  <si>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</si>
  <si>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</si>
  <si>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</si>
  <si>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</si>
  <si>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</si>
  <si>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</si>
  <si>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</si>
  <si>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</si>
  <si>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</si>
  <si>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</si>
  <si>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</si>
  <si>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</si>
  <si>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</si>
  <si>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</si>
  <si>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</si>
  <si>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</si>
  <si>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</si>
  <si>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</si>
  <si>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</si>
  <si>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</si>
  <si>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</si>
  <si>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</si>
  <si>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</si>
  <si>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</si>
  <si>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</si>
  <si>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</si>
  <si>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</si>
  <si>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</si>
  <si>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</si>
  <si>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</si>
  <si>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</si>
  <si>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</si>
  <si>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</si>
  <si>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</si>
  <si>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</si>
  <si>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</si>
  <si>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</si>
  <si>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</si>
  <si>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</si>
  <si>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</si>
  <si>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</si>
  <si>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</si>
  <si>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</si>
  <si>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</si>
  <si>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</si>
  <si>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</si>
  <si>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</si>
  <si>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</si>
  <si>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</si>
  <si>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</si>
  <si>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</si>
  <si>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</si>
  <si>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</si>
  <si>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</si>
  <si>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</si>
  <si>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</si>
  <si>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</si>
  <si>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</si>
  <si>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</si>
  <si>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</si>
  <si>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</si>
  <si>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</si>
  <si>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</si>
  <si>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</si>
  <si>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</si>
  <si>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</si>
  <si>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</si>
  <si>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</si>
  <si>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</si>
  <si>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</si>
  <si>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</si>
  <si>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</si>
  <si>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</si>
  <si>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</si>
  <si>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</si>
  <si>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</si>
  <si>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</si>
  <si>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</si>
  <si>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</si>
  <si>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</si>
  <si>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</si>
  <si>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</si>
  <si>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</si>
  <si>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</si>
  <si>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</si>
  <si>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</si>
  <si>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</si>
  <si>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</si>
  <si>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</si>
  <si>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</si>
  <si>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</si>
  <si>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</si>
  <si>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</si>
  <si>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</si>
  <si>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</si>
  <si>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</si>
  <si>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</si>
  <si>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</si>
  <si>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</si>
  <si>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</si>
  <si>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</si>
  <si>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</si>
  <si>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</si>
  <si>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</si>
  <si>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</si>
  <si>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</si>
  <si>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</si>
  <si>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</si>
  <si>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</si>
  <si>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</si>
  <si>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</si>
  <si>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</si>
  <si>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</si>
  <si>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</si>
  <si>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</si>
  <si>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</si>
  <si>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</si>
  <si>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</si>
  <si>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</si>
  <si>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</si>
  <si>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</si>
  <si>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</si>
  <si>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</si>
  <si>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</si>
  <si>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</si>
  <si>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</si>
  <si>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</si>
  <si>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</si>
  <si>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</si>
  <si>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</si>
  <si>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</si>
  <si>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</si>
  <si>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</si>
  <si>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</si>
  <si>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</si>
  <si>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</si>
  <si>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</si>
  <si>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</si>
  <si>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</si>
  <si>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</si>
  <si>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</si>
  <si>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</si>
  <si>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</si>
  <si>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</si>
  <si>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</si>
  <si>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</si>
  <si>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</si>
  <si>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</si>
  <si>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</si>
  <si>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</si>
  <si>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</si>
  <si>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</si>
  <si>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</si>
  <si>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</si>
  <si>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</si>
  <si>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</si>
  <si>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</si>
  <si>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</si>
  <si>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</si>
  <si>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</si>
  <si>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</si>
  <si>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</si>
  <si>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</si>
  <si>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</si>
  <si>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</si>
  <si>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</si>
  <si>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</si>
  <si>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</si>
  <si>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</si>
  <si>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</si>
  <si>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</si>
  <si>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</si>
  <si>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</si>
  <si>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</si>
  <si>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</si>
  <si>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</si>
  <si>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</si>
  <si>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</si>
  <si>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</si>
  <si>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</si>
  <si>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</si>
  <si>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</si>
  <si>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</si>
  <si>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</si>
  <si>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</si>
  <si>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</si>
  <si>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</si>
  <si>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</si>
  <si>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</si>
  <si>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</si>
  <si>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</si>
  <si>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</si>
  <si>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</si>
  <si>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</si>
  <si>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</si>
  <si>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</si>
  <si>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</si>
  <si>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</si>
  <si>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</si>
  <si>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</si>
  <si>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</si>
  <si>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</si>
  <si>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</si>
  <si>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</si>
  <si>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</si>
  <si>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</si>
  <si>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</si>
  <si>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</si>
  <si>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</si>
  <si>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</si>
  <si>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</si>
  <si>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</si>
  <si>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</si>
  <si>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</si>
  <si>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</si>
  <si>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</si>
  <si>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</si>
  <si>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</si>
  <si>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</si>
  <si>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</si>
  <si>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</si>
  <si>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</si>
  <si>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</si>
  <si>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</si>
  <si>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</si>
  <si>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</si>
  <si>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</si>
  <si>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</si>
  <si>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</si>
  <si>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</si>
  <si>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</si>
  <si>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</si>
  <si>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</si>
  <si>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</si>
  <si>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</si>
  <si>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</si>
  <si>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</si>
  <si>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</si>
  <si>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</si>
  <si>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</si>
  <si>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</si>
  <si>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</si>
  <si>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</si>
  <si>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</si>
  <si>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</si>
  <si>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</si>
  <si>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</si>
  <si>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</si>
  <si>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</si>
  <si>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</si>
  <si>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</si>
  <si>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</si>
  <si>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</si>
  <si>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</si>
  <si>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</si>
  <si>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</si>
  <si>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</si>
  <si>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</si>
  <si>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</si>
  <si>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</si>
  <si>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</si>
  <si>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</si>
  <si>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</si>
  <si>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</si>
  <si>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</si>
  <si>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</si>
  <si>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</si>
  <si>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</si>
  <si>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</si>
  <si>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</si>
  <si>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</si>
  <si>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</si>
  <si>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</si>
  <si>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</si>
  <si>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</si>
  <si>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</si>
  <si>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</si>
  <si>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</si>
  <si>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</si>
  <si>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</si>
  <si>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</si>
  <si>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</si>
  <si>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</si>
  <si>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</si>
  <si>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</si>
  <si>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</si>
  <si>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</si>
  <si>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</si>
  <si>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</si>
  <si>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</si>
  <si>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</si>
  <si>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</si>
  <si>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</si>
  <si>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</si>
  <si>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</si>
  <si>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</si>
  <si>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</si>
  <si>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</si>
  <si>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</si>
  <si>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</si>
  <si>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</si>
  <si>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</si>
  <si>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</si>
  <si>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</si>
  <si>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</si>
  <si>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</si>
  <si>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</si>
  <si>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</si>
  <si>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</si>
  <si>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</si>
  <si>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</si>
  <si>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</si>
  <si>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</si>
  <si>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</si>
  <si>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</si>
  <si>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</si>
  <si>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</si>
  <si>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</si>
  <si>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</si>
  <si>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</si>
  <si>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</si>
  <si>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</si>
  <si>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</si>
  <si>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</si>
  <si>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</si>
  <si>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</si>
  <si>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</si>
  <si>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</si>
  <si>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</si>
  <si>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</si>
  <si>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</si>
  <si>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</si>
  <si>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</si>
  <si>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</si>
  <si>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</si>
  <si>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</si>
  <si>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</si>
  <si>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</si>
  <si>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</si>
  <si>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</si>
  <si>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</si>
  <si>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</si>
  <si>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</si>
  <si>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</si>
  <si>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</si>
  <si>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</si>
  <si>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</si>
  <si>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</si>
  <si>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</si>
  <si>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</si>
  <si>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</si>
  <si>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</si>
  <si>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</si>
  <si>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</si>
  <si>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</si>
  <si>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</si>
  <si>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</si>
  <si>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</si>
  <si>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</si>
  <si>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</si>
  <si>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</si>
  <si>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</si>
  <si>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</si>
  <si>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</si>
  <si>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</si>
  <si>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</si>
  <si>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</si>
  <si>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</si>
  <si>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</si>
  <si>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</si>
  <si>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</si>
  <si>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</si>
  <si>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</si>
  <si>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</si>
  <si>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</si>
  <si>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</si>
  <si>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</si>
  <si>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</si>
  <si>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</si>
  <si>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</si>
  <si>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</si>
  <si>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</si>
  <si>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</si>
  <si>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</si>
  <si>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</si>
  <si>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</si>
  <si>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</si>
  <si>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</si>
  <si>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</si>
  <si>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</si>
  <si>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</si>
  <si>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</si>
  <si>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</si>
  <si>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</si>
  <si>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</si>
  <si>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</si>
  <si>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</si>
  <si>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</si>
  <si>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</si>
  <si>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</si>
  <si>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</si>
  <si>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</si>
  <si>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</si>
  <si>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</si>
  <si>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</si>
  <si>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</si>
  <si>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</si>
  <si>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</si>
  <si>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</si>
  <si>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</si>
  <si>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</si>
  <si>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</si>
  <si>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</si>
  <si>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</si>
  <si>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</si>
  <si>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</si>
  <si>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</si>
  <si>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</si>
  <si>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</si>
  <si>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</si>
  <si>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</si>
  <si>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</si>
  <si>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</si>
  <si>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</si>
  <si>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</si>
  <si>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</si>
  <si>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</si>
  <si>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</si>
  <si>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</si>
  <si>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</si>
  <si>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</si>
  <si>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</si>
  <si>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</si>
  <si>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</si>
  <si>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</si>
  <si>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</si>
  <si>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</si>
  <si>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</si>
  <si>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</si>
  <si>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</si>
  <si>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</si>
  <si>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</si>
  <si>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</si>
  <si>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</si>
  <si>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</si>
  <si>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</si>
  <si>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</si>
  <si>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</si>
  <si>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</si>
  <si>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</si>
  <si>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</si>
  <si>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</si>
  <si>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</si>
  <si>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</si>
  <si>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</si>
  <si>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</si>
  <si>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</si>
  <si>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</si>
  <si>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</si>
  <si>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</si>
  <si>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</si>
  <si>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</si>
  <si>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</si>
  <si>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</si>
  <si>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</si>
  <si>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</si>
  <si>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</si>
  <si>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</si>
  <si>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</si>
  <si>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</si>
  <si>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</si>
  <si>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</si>
  <si>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</si>
  <si>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</si>
  <si>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</si>
  <si>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</si>
  <si>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</si>
  <si>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</si>
  <si>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</si>
  <si>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</si>
  <si>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</si>
  <si>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</si>
  <si>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</si>
  <si>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</si>
  <si>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</si>
  <si>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</si>
  <si>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</si>
  <si>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</si>
  <si>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</si>
  <si>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</si>
  <si>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</si>
  <si>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</si>
  <si>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</si>
  <si>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</si>
  <si>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</si>
  <si>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</si>
  <si>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</si>
  <si>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</si>
  <si>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</si>
  <si>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</si>
  <si>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</si>
  <si>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</si>
  <si>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</si>
  <si>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</si>
  <si>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</si>
  <si>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</si>
  <si>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</si>
  <si>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</si>
  <si>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</si>
  <si>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</si>
  <si>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</si>
  <si>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</si>
  <si>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</si>
  <si>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</si>
  <si>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</si>
  <si>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</si>
  <si>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</si>
  <si>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</si>
  <si>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</si>
  <si>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</si>
  <si>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</si>
  <si>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</si>
  <si>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</si>
  <si>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</si>
  <si>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</si>
  <si>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</si>
  <si>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</si>
  <si>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</si>
  <si>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</si>
  <si>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</si>
  <si>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</si>
  <si>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</si>
  <si>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</si>
  <si>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</si>
  <si>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</si>
  <si>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</si>
  <si>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</si>
  <si>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</si>
  <si>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</si>
  <si>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</si>
  <si>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</si>
  <si>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</si>
  <si>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</si>
  <si>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</si>
  <si>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</si>
  <si>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</si>
  <si>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</si>
  <si>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</si>
  <si>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</si>
  <si>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</si>
  <si>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</si>
  <si>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</si>
  <si>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</si>
  <si>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</si>
  <si>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</si>
  <si>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</si>
  <si>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</si>
  <si>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</si>
  <si>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</si>
  <si>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</si>
  <si>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</si>
  <si>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</si>
  <si>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</si>
  <si>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</si>
  <si>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</si>
  <si>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</si>
  <si>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</si>
  <si>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</si>
  <si>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</si>
  <si>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</si>
  <si>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</si>
  <si>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</si>
  <si>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</si>
  <si>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</si>
  <si>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</si>
  <si>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</si>
  <si>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</si>
  <si>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</si>
  <si>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</si>
  <si>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</si>
  <si>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</si>
  <si>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</si>
  <si>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</si>
  <si>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</si>
  <si>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</si>
  <si>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</si>
  <si>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</si>
  <si>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</si>
  <si>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</si>
  <si>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</si>
  <si>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</si>
  <si>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</si>
  <si>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</si>
  <si>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</si>
  <si>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</si>
  <si>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</si>
  <si>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</si>
  <si>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</si>
  <si>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</si>
  <si>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</si>
  <si>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</si>
  <si>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</si>
  <si>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</si>
  <si>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</si>
  <si>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</si>
  <si>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</si>
  <si>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</si>
  <si>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</si>
  <si>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</si>
  <si>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</si>
  <si>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</si>
  <si>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</si>
  <si>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</si>
  <si>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</si>
  <si>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</si>
  <si>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</si>
  <si>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</si>
  <si>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</si>
  <si>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</si>
  <si>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</si>
  <si>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</si>
  <si>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</si>
  <si>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</si>
  <si>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</si>
  <si>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</si>
  <si>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</si>
  <si>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</si>
  <si>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</si>
  <si>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</si>
  <si>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</si>
  <si>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</si>
  <si>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</si>
  <si>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</si>
  <si>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</si>
  <si>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</si>
  <si>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</si>
  <si>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</si>
  <si>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</si>
  <si>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</si>
  <si>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</si>
  <si>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</si>
  <si>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</si>
  <si>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</si>
  <si>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</si>
  <si>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</si>
  <si>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</si>
  <si>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</si>
  <si>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</si>
  <si>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</si>
  <si>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</si>
  <si>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</si>
  <si>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</si>
  <si>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</si>
  <si>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</si>
  <si>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</si>
  <si>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</si>
  <si>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</si>
  <si>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</si>
  <si>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</si>
  <si>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</si>
  <si>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</si>
  <si>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</si>
  <si>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</si>
  <si>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</si>
  <si>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</si>
  <si>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</si>
  <si>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</si>
  <si>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</si>
  <si>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</si>
  <si>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</si>
  <si>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</si>
  <si>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</si>
  <si>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</si>
  <si>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</si>
  <si>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</si>
  <si>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</si>
  <si>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</si>
  <si>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</si>
  <si>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</si>
  <si>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</si>
  <si>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</si>
  <si>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</si>
  <si>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</si>
  <si>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</si>
  <si>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</si>
  <si>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</si>
  <si>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</si>
  <si>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</si>
  <si>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</si>
  <si>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</si>
  <si>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</si>
  <si>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</si>
  <si>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</si>
  <si>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</si>
  <si>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</si>
  <si>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</si>
  <si>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</si>
  <si>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</si>
  <si>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</si>
  <si>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</si>
  <si>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</si>
  <si>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</si>
  <si>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</si>
  <si>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</si>
  <si>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</si>
  <si>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</si>
  <si>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</si>
  <si>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</si>
  <si>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</si>
  <si>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</si>
  <si>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</si>
  <si>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</si>
  <si>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</si>
  <si>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</si>
  <si>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</si>
  <si>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</si>
  <si>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</si>
  <si>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</si>
  <si>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</si>
  <si>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</si>
  <si>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</si>
  <si>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</si>
  <si>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</si>
  <si>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</si>
  <si>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</si>
  <si>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</si>
  <si>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</si>
  <si>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</si>
  <si>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</si>
  <si>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</si>
  <si>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</si>
  <si>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</si>
  <si>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</si>
  <si>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</si>
  <si>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</si>
  <si>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</si>
  <si>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</si>
  <si>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</si>
  <si>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</si>
  <si>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</si>
  <si>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</si>
  <si>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</si>
  <si>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</si>
  <si>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</si>
  <si>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</si>
  <si>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</si>
  <si>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</si>
  <si>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</si>
  <si>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</si>
  <si>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</si>
  <si>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</si>
  <si>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</si>
  <si>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</si>
  <si>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</si>
  <si>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</si>
  <si>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</si>
  <si>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</si>
  <si>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</si>
  <si>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</si>
  <si>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</si>
  <si>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</si>
  <si>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</si>
  <si>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</si>
  <si>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</si>
  <si>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</si>
  <si>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</si>
  <si>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</si>
  <si>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</si>
  <si>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</si>
  <si>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</si>
  <si>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</si>
  <si>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</si>
  <si>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</si>
  <si>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</si>
  <si>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</si>
  <si>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</si>
  <si>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</si>
  <si>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</si>
  <si>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</si>
  <si>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</si>
  <si>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</si>
  <si>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</si>
  <si>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</si>
  <si>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</si>
  <si>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</si>
  <si>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</si>
  <si>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</si>
  <si>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</si>
  <si>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</si>
  <si>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</si>
  <si>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</si>
  <si>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</si>
  <si>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</si>
  <si>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</si>
  <si>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</si>
  <si>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</si>
  <si>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</si>
  <si>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</si>
  <si>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</si>
  <si>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</si>
  <si>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</si>
  <si>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</si>
  <si>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</si>
  <si>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</si>
  <si>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</si>
  <si>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</si>
  <si>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</si>
  <si>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</si>
  <si>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</si>
  <si>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</si>
  <si>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</si>
  <si>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</si>
  <si>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</si>
  <si>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</si>
  <si>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</si>
  <si>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</si>
  <si>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</si>
  <si>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</si>
  <si>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</si>
  <si>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</si>
  <si>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</si>
  <si>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</si>
  <si>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</si>
  <si>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</si>
  <si>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</si>
  <si>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</si>
  <si>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</si>
  <si>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</si>
  <si>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</si>
  <si>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</si>
  <si>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</si>
  <si>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</si>
  <si>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</si>
  <si>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</si>
  <si>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</si>
  <si>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</si>
  <si>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</si>
  <si>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</si>
  <si>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</si>
  <si>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</si>
  <si>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</si>
  <si>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</si>
  <si>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</si>
  <si>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</si>
  <si>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</si>
  <si>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</si>
  <si>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</si>
  <si>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</si>
  <si>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</si>
  <si>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</si>
  <si>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</si>
  <si>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</si>
  <si>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</si>
  <si>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</si>
  <si>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</si>
  <si>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</si>
  <si>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</si>
  <si>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</si>
  <si>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</si>
  <si>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</si>
  <si>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</si>
  <si>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</si>
  <si>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</si>
  <si>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</si>
  <si>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</si>
  <si>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</si>
  <si>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</si>
  <si>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</si>
  <si>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</si>
  <si>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</si>
  <si>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</si>
  <si>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</si>
  <si>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</si>
  <si>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</si>
  <si>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</si>
  <si>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</si>
  <si>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</si>
  <si>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</si>
  <si>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</si>
  <si>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</si>
  <si>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</si>
  <si>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</si>
  <si>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</si>
  <si>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</si>
  <si>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</si>
  <si>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</si>
  <si>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</si>
  <si>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</si>
  <si>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</si>
  <si>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</si>
  <si>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</si>
  <si>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</si>
  <si>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</si>
  <si>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</si>
  <si>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</si>
  <si>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</si>
  <si>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</si>
  <si>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</si>
  <si>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</si>
  <si>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</si>
  <si>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</si>
  <si>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</si>
  <si>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</si>
  <si>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</si>
  <si>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</si>
  <si>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</si>
  <si>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</si>
  <si>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</si>
  <si>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</si>
  <si>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</si>
  <si>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</si>
  <si>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</si>
  <si>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</si>
  <si>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</si>
  <si>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</si>
  <si>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</si>
  <si>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</si>
  <si>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</si>
  <si>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</si>
  <si>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</si>
  <si>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</si>
  <si>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</si>
  <si>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</si>
  <si>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</si>
  <si>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</si>
  <si>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</si>
  <si>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</si>
  <si>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</si>
  <si>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</si>
  <si>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</si>
  <si>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</si>
  <si>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</si>
  <si>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</si>
  <si>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</si>
  <si>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</si>
  <si>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</si>
  <si>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</si>
  <si>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</si>
  <si>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</si>
  <si>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</si>
  <si>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</si>
  <si>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</si>
  <si>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</si>
  <si>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</si>
  <si>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</si>
  <si>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</si>
  <si>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</si>
  <si>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</si>
  <si>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</si>
  <si>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</si>
  <si>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</si>
  <si>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</si>
  <si>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</si>
  <si>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</si>
  <si>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</si>
  <si>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</si>
  <si>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</si>
  <si>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</si>
  <si>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</si>
  <si>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</si>
  <si>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</si>
  <si>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</si>
  <si>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</si>
  <si>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</si>
  <si>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</si>
  <si>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</si>
  <si>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</si>
  <si>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</si>
  <si>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</si>
  <si>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</si>
  <si>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</si>
  <si>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</si>
  <si>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</si>
  <si>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</si>
  <si>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</si>
  <si>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</si>
  <si>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</si>
  <si>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</si>
  <si>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</si>
  <si>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</si>
  <si>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</si>
  <si>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</si>
  <si>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</si>
  <si>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</si>
  <si>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</si>
  <si>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</si>
  <si>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</si>
  <si>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</si>
  <si>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</si>
  <si>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</si>
  <si>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</si>
  <si>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</si>
  <si>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</si>
  <si>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</si>
  <si>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</si>
  <si>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</si>
  <si>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</si>
  <si>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</si>
  <si>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</si>
  <si>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</si>
  <si>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</si>
  <si>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</si>
  <si>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</si>
  <si>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</si>
  <si>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</si>
  <si>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</si>
  <si>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</si>
  <si>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</si>
  <si>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</si>
  <si>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</si>
  <si>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</si>
  <si>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</si>
  <si>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</si>
  <si>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</si>
  <si>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</si>
  <si>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</si>
  <si>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</si>
  <si>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</si>
  <si>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</si>
  <si>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</si>
  <si>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</si>
  <si>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</si>
  <si>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</si>
  <si>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</si>
  <si>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</si>
  <si>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</si>
  <si>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</si>
  <si>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</si>
  <si>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</si>
  <si>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</si>
  <si>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</si>
  <si>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</si>
  <si>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</si>
  <si>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</si>
  <si>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</si>
  <si>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</si>
  <si>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</si>
  <si>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</si>
  <si>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</si>
  <si>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</si>
  <si>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</si>
  <si>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</si>
  <si>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</si>
  <si>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</si>
  <si>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</si>
  <si>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</si>
  <si>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</si>
  <si>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</si>
  <si>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</si>
  <si>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</si>
  <si>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</si>
  <si>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</si>
  <si>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</si>
  <si>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</si>
  <si>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</si>
  <si>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</si>
  <si>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</si>
  <si>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</si>
  <si>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</si>
  <si>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</si>
  <si>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</si>
  <si>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</si>
  <si>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</si>
  <si>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</si>
  <si>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</si>
  <si>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</si>
  <si>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</si>
  <si>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</si>
  <si>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</si>
  <si>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</si>
  <si>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</si>
  <si>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</si>
  <si>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</si>
  <si>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</si>
  <si>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</si>
  <si>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</si>
  <si>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</si>
  <si>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</si>
  <si>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</si>
  <si>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</si>
  <si>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</si>
  <si>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</si>
  <si>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</si>
  <si>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</si>
  <si>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</si>
  <si>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</si>
  <si>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</si>
  <si>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</si>
  <si>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</si>
  <si>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</si>
  <si>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</si>
  <si>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</si>
  <si>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</si>
  <si>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</si>
  <si>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</si>
  <si>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</si>
  <si>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</si>
  <si>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</si>
  <si>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</si>
  <si>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</si>
  <si>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</si>
  <si>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</si>
  <si>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</si>
  <si>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</si>
  <si>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</si>
  <si>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</si>
  <si>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</si>
  <si>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</si>
  <si>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</si>
  <si>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</si>
  <si>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</si>
  <si>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</si>
  <si>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</si>
  <si>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</si>
  <si>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</si>
  <si>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</si>
  <si>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</si>
  <si>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</si>
  <si>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</si>
  <si>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</si>
  <si>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</si>
  <si>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</si>
  <si>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</si>
  <si>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</si>
  <si>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</si>
  <si>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</si>
  <si>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</si>
  <si>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</si>
  <si>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</si>
  <si>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</si>
  <si>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</si>
  <si>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</si>
  <si>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</si>
  <si>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</si>
  <si>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</si>
  <si>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</si>
  <si>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</si>
  <si>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</si>
  <si>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</si>
  <si>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</si>
  <si>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</si>
  <si>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</si>
  <si>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</si>
  <si>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</si>
  <si>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</si>
  <si>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</si>
  <si>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</si>
  <si>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</si>
  <si>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</si>
  <si>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</si>
  <si>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</si>
  <si>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</si>
  <si>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</si>
  <si>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</si>
  <si>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</si>
  <si>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</si>
  <si>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</si>
  <si>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</si>
  <si>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</si>
  <si>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</si>
  <si>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</si>
  <si>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</si>
  <si>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</si>
  <si>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</si>
  <si>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</si>
  <si>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</si>
  <si>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</si>
  <si>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</si>
  <si>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</si>
  <si>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</si>
  <si>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</si>
  <si>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</si>
  <si>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</si>
  <si>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</rPr>
      <t>הערך הנוכחי של התשלום במזומן</t>
    </r>
    <r>
      <rPr>
        <sz val="11"/>
        <color theme="1"/>
        <rFont val="David"/>
      </rPr>
      <t xml:space="preserve">: גובהו של התשלום במזומן - נטו, לאחר הנחה. </t>
    </r>
    <r>
      <rPr>
        <b/>
        <sz val="11"/>
        <color theme="1"/>
        <rFont val="David"/>
      </rPr>
      <t>סכום זה לא ידוע. PV = x.</t>
    </r>
    <r>
      <rPr>
        <sz val="11"/>
        <color theme="1"/>
        <rFont val="David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</si>
  <si>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</si>
  <si>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</si>
  <si>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</si>
  <si>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</si>
  <si>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</si>
  <si>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</si>
  <si>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</si>
  <si>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</si>
  <si>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</si>
  <si>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</si>
  <si>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</si>
  <si>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</si>
  <si>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</si>
  <si>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</si>
  <si>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</si>
  <si>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</si>
  <si>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</si>
  <si>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</si>
  <si>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</si>
  <si>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</si>
  <si>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</si>
  <si>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</si>
  <si>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</si>
  <si>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</si>
  <si>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</si>
  <si>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</si>
  <si>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</si>
  <si>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</rPr>
      <t>שינויי ריבית מרובים</t>
    </r>
    <r>
      <rPr>
        <sz val="11"/>
        <color theme="1"/>
        <rFont val="David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</si>
  <si>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</rPr>
      <t>מהסוף להתחלה</t>
    </r>
    <r>
      <rPr>
        <sz val="11"/>
        <color theme="1"/>
        <rFont val="David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</si>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</sst>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  <font>
      <b/>
      <sz val="20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7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8" fillId="0" borderId="0" xfId="0" applyFont="1" applyBorder="1"/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0" fontId="8" fillId="0" borderId="0" xfId="0" applyFont="1" applyBorder="1" applyAlignment="1">
      <alignment horizontal="center"/>
    </xf>
    <xf numFmtId="172" fontId="8" fillId="6" borderId="0" xfId="0" applyNumberFormat="1" applyFont="1" applyFill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675661</xdr:colOff>
      <xdr:row>86</xdr:row>
      <xdr:rowOff>77191</xdr:rowOff>
    </xdr:from>
    <xdr:to>
      <xdr:col>2</xdr:col>
      <xdr:colOff>69644</xdr:colOff>
      <xdr:row>87</xdr:row>
      <xdr:rowOff>185536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13866676" y="17836871"/>
          <a:ext cx="267743" cy="31154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109</xdr:row>
      <xdr:rowOff>168631</xdr:rowOff>
    </xdr:from>
    <xdr:to>
      <xdr:col>4</xdr:col>
      <xdr:colOff>100124</xdr:colOff>
      <xdr:row>111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3004</v>
      </c>
    </row>
    <row r="3" spans="1:7" ht="21" x14ac:dyDescent="0.25">
      <c r="A3" s="43" t="s">
        <v>3005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2516</v>
      </c>
      <c r="E7" s="43" t="s">
        <v>2515</v>
      </c>
      <c r="F7" s="43" t="s">
        <v>2517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2518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6" t="s">
        <v>11</v>
      </c>
      <c r="C14" s="496" t="s">
        <v>12</v>
      </c>
      <c r="D14" s="496"/>
      <c r="E14" s="496"/>
      <c r="F14" s="496"/>
      <c r="G14" s="584"/>
    </row>
    <row r="15" spans="1:7" x14ac:dyDescent="0.2">
      <c r="A15" s="352">
        <v>45354</v>
      </c>
      <c r="B15" s="573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1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5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5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1"/>
      <c r="B58" s="219"/>
      <c r="C58" s="219"/>
      <c r="D58" s="219"/>
      <c r="E58" s="219"/>
      <c r="F58" s="219"/>
      <c r="G58" s="219"/>
    </row>
    <row r="59" spans="1:7" ht="16" thickBot="1" x14ac:dyDescent="0.25">
      <c r="A59" s="521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6" t="s">
        <v>2941</v>
      </c>
      <c r="B1" s="706"/>
      <c r="C1" s="706"/>
      <c r="D1" s="706"/>
      <c r="E1" s="706"/>
      <c r="F1" s="706"/>
      <c r="G1" s="706"/>
      <c r="H1" s="706"/>
    </row>
    <row r="3" spans="1:8" ht="16" thickBot="1" x14ac:dyDescent="0.25">
      <c r="A3" s="179" t="s">
        <v>1758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1759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1760</v>
      </c>
      <c r="H5" s="217"/>
    </row>
    <row r="6" spans="1:8" x14ac:dyDescent="0.2">
      <c r="A6" s="323" t="s">
        <v>1761</v>
      </c>
      <c r="H6" s="217"/>
    </row>
    <row r="7" spans="1:8" x14ac:dyDescent="0.2">
      <c r="A7" s="323"/>
      <c r="H7" s="217"/>
    </row>
    <row r="8" spans="1:8" x14ac:dyDescent="0.2">
      <c r="A8" s="323" t="s">
        <v>1762</v>
      </c>
      <c r="H8" s="217"/>
    </row>
    <row r="9" spans="1:8" x14ac:dyDescent="0.2">
      <c r="A9" s="323" t="s">
        <v>1763</v>
      </c>
      <c r="H9" s="217"/>
    </row>
    <row r="10" spans="1:8" x14ac:dyDescent="0.2">
      <c r="A10" s="323"/>
      <c r="H10" s="217"/>
    </row>
    <row r="11" spans="1:8" x14ac:dyDescent="0.2">
      <c r="A11" s="323" t="s">
        <v>1764</v>
      </c>
      <c r="B11" s="222" t="s">
        <v>3003</v>
      </c>
      <c r="H11" s="217"/>
    </row>
    <row r="12" spans="1:8" x14ac:dyDescent="0.2">
      <c r="A12" s="323"/>
      <c r="H12" s="217"/>
    </row>
    <row r="13" spans="1:8" x14ac:dyDescent="0.2">
      <c r="A13" s="323" t="s">
        <v>1765</v>
      </c>
      <c r="H13" s="217"/>
    </row>
    <row r="14" spans="1:8" ht="16" thickBot="1" x14ac:dyDescent="0.25">
      <c r="A14" s="236" t="s">
        <v>1766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1767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1768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1769</v>
      </c>
    </row>
    <row r="20" spans="1:8" x14ac:dyDescent="0.2">
      <c r="A20" s="43" t="s">
        <v>1770</v>
      </c>
    </row>
    <row r="22" spans="1:8" x14ac:dyDescent="0.2">
      <c r="A22" s="43" t="s">
        <v>65</v>
      </c>
    </row>
    <row r="23" spans="1:8" x14ac:dyDescent="0.2">
      <c r="A23" s="47" t="s">
        <v>1771</v>
      </c>
      <c r="B23" s="43" t="s">
        <v>1772</v>
      </c>
    </row>
    <row r="24" spans="1:8" x14ac:dyDescent="0.2">
      <c r="A24" s="47" t="s">
        <v>1773</v>
      </c>
      <c r="B24" s="43" t="s">
        <v>1774</v>
      </c>
    </row>
    <row r="25" spans="1:8" x14ac:dyDescent="0.2">
      <c r="A25" s="202" t="s">
        <v>1775</v>
      </c>
      <c r="B25" s="43" t="s">
        <v>1776</v>
      </c>
    </row>
    <row r="27" spans="1:8" ht="18" x14ac:dyDescent="0.2">
      <c r="A27" s="668" t="s">
        <v>1777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2942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2943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1778</v>
      </c>
    </row>
    <row r="32" spans="1:8" x14ac:dyDescent="0.2">
      <c r="B32" s="59" t="s">
        <v>1154</v>
      </c>
      <c r="C32" s="59" t="s">
        <v>1779</v>
      </c>
    </row>
    <row r="33" spans="1:6" x14ac:dyDescent="0.2">
      <c r="A33" s="43" t="s">
        <v>2948</v>
      </c>
      <c r="B33" s="43" t="s">
        <v>1780</v>
      </c>
      <c r="C33" s="43">
        <v>100</v>
      </c>
      <c r="E33" s="201"/>
    </row>
    <row r="34" spans="1:6" x14ac:dyDescent="0.2">
      <c r="A34" s="43" t="s">
        <v>2944</v>
      </c>
      <c r="B34" s="43" t="s">
        <v>1781</v>
      </c>
      <c r="C34" s="43">
        <v>120</v>
      </c>
    </row>
    <row r="35" spans="1:6" x14ac:dyDescent="0.2">
      <c r="A35" s="43" t="s">
        <v>2945</v>
      </c>
      <c r="B35" s="43" t="s">
        <v>1782</v>
      </c>
      <c r="C35" s="43">
        <v>110</v>
      </c>
    </row>
    <row r="36" spans="1:6" x14ac:dyDescent="0.2">
      <c r="A36" s="43" t="s">
        <v>2946</v>
      </c>
      <c r="B36" s="43" t="s">
        <v>1783</v>
      </c>
      <c r="C36" s="43">
        <v>121</v>
      </c>
    </row>
    <row r="37" spans="1:6" x14ac:dyDescent="0.2">
      <c r="A37" s="43" t="s">
        <v>2947</v>
      </c>
      <c r="B37" s="43" t="s">
        <v>1784</v>
      </c>
      <c r="C37" s="43">
        <v>121</v>
      </c>
    </row>
    <row r="39" spans="1:6" x14ac:dyDescent="0.2">
      <c r="A39" s="43" t="s">
        <v>1785</v>
      </c>
    </row>
    <row r="40" spans="1:6" x14ac:dyDescent="0.2">
      <c r="A40" s="43" t="s">
        <v>2950</v>
      </c>
    </row>
    <row r="42" spans="1:6" x14ac:dyDescent="0.2">
      <c r="A42" s="44" t="s">
        <v>1786</v>
      </c>
    </row>
    <row r="43" spans="1:6" x14ac:dyDescent="0.2">
      <c r="A43" s="43" t="s">
        <v>2949</v>
      </c>
    </row>
    <row r="44" spans="1:6" x14ac:dyDescent="0.2">
      <c r="A44" s="44"/>
    </row>
    <row r="45" spans="1:6" x14ac:dyDescent="0.2">
      <c r="A45" s="669"/>
    </row>
    <row r="46" spans="1:6" x14ac:dyDescent="0.2">
      <c r="A46" s="44"/>
    </row>
    <row r="47" spans="1:6" x14ac:dyDescent="0.2">
      <c r="B47" s="49" t="s">
        <v>1154</v>
      </c>
      <c r="C47" s="49" t="s">
        <v>1779</v>
      </c>
      <c r="D47" s="49" t="s">
        <v>1787</v>
      </c>
      <c r="F47" s="43" t="s">
        <v>1788</v>
      </c>
    </row>
    <row r="48" spans="1:6" x14ac:dyDescent="0.2">
      <c r="B48" s="47" t="s">
        <v>1780</v>
      </c>
      <c r="C48" s="47">
        <v>100</v>
      </c>
      <c r="D48" s="47"/>
      <c r="F48" s="43" t="s">
        <v>1789</v>
      </c>
    </row>
    <row r="49" spans="1:8" x14ac:dyDescent="0.2">
      <c r="B49" s="47" t="s">
        <v>1781</v>
      </c>
      <c r="C49" s="47">
        <v>120</v>
      </c>
      <c r="D49" s="203">
        <f>C49/C48-1</f>
        <v>0.19999999999999996</v>
      </c>
      <c r="F49" s="43" t="s">
        <v>1790</v>
      </c>
    </row>
    <row r="50" spans="1:8" x14ac:dyDescent="0.2">
      <c r="B50" s="47" t="s">
        <v>1782</v>
      </c>
      <c r="C50" s="47">
        <v>110</v>
      </c>
      <c r="D50" s="203">
        <f>C50/C49-1</f>
        <v>-8.333333333333337E-2</v>
      </c>
      <c r="F50" s="43" t="s">
        <v>1791</v>
      </c>
    </row>
    <row r="51" spans="1:8" x14ac:dyDescent="0.2">
      <c r="B51" s="47" t="s">
        <v>1783</v>
      </c>
      <c r="C51" s="47">
        <v>121</v>
      </c>
      <c r="D51" s="203">
        <f>C51/C50-1</f>
        <v>0.10000000000000009</v>
      </c>
      <c r="F51" s="43" t="s">
        <v>1792</v>
      </c>
    </row>
    <row r="52" spans="1:8" x14ac:dyDescent="0.2">
      <c r="B52" s="47" t="s">
        <v>1784</v>
      </c>
      <c r="C52" s="47">
        <v>121</v>
      </c>
      <c r="D52" s="203">
        <f>C52/C51-1</f>
        <v>0</v>
      </c>
      <c r="F52" s="43" t="s">
        <v>1793</v>
      </c>
    </row>
    <row r="54" spans="1:8" x14ac:dyDescent="0.2">
      <c r="A54" s="44" t="s">
        <v>1794</v>
      </c>
    </row>
    <row r="55" spans="1:8" x14ac:dyDescent="0.2">
      <c r="A55" s="44"/>
      <c r="D55" s="47" t="s">
        <v>1787</v>
      </c>
      <c r="E55" s="47" t="s">
        <v>1787</v>
      </c>
    </row>
    <row r="56" spans="1:8" x14ac:dyDescent="0.2">
      <c r="A56" s="44"/>
      <c r="B56" s="49" t="s">
        <v>1154</v>
      </c>
      <c r="C56" s="49" t="s">
        <v>1779</v>
      </c>
      <c r="D56" s="49" t="s">
        <v>1795</v>
      </c>
      <c r="E56" s="49" t="s">
        <v>2952</v>
      </c>
    </row>
    <row r="57" spans="1:8" x14ac:dyDescent="0.2">
      <c r="A57" s="44"/>
      <c r="B57" s="47" t="s">
        <v>1780</v>
      </c>
      <c r="C57" s="47">
        <v>100</v>
      </c>
      <c r="D57" s="204"/>
      <c r="E57" s="204"/>
      <c r="H57" s="43" t="s">
        <v>2953</v>
      </c>
    </row>
    <row r="58" spans="1:8" x14ac:dyDescent="0.2">
      <c r="A58" s="44"/>
      <c r="B58" s="47" t="s">
        <v>1781</v>
      </c>
      <c r="C58" s="47">
        <v>120</v>
      </c>
      <c r="D58" s="152">
        <f>C58/C57-1</f>
        <v>0.19999999999999996</v>
      </c>
      <c r="E58" s="529">
        <f>D58+1</f>
        <v>1.2</v>
      </c>
    </row>
    <row r="59" spans="1:8" x14ac:dyDescent="0.2">
      <c r="A59" s="44"/>
      <c r="B59" s="47" t="s">
        <v>1782</v>
      </c>
      <c r="C59" s="47">
        <v>110</v>
      </c>
      <c r="D59" s="152">
        <f>C59/C58-1</f>
        <v>-8.333333333333337E-2</v>
      </c>
      <c r="E59" s="529">
        <f>D59+1</f>
        <v>0.91666666666666663</v>
      </c>
    </row>
    <row r="60" spans="1:8" x14ac:dyDescent="0.2">
      <c r="A60" s="44"/>
      <c r="B60" s="47" t="s">
        <v>1783</v>
      </c>
      <c r="C60" s="47">
        <v>121</v>
      </c>
      <c r="D60" s="152">
        <f>C60/C59-1</f>
        <v>0.10000000000000009</v>
      </c>
      <c r="E60" s="529">
        <f t="shared" ref="E60:E61" si="0">D60+1</f>
        <v>1.1000000000000001</v>
      </c>
      <c r="G60" s="43" t="s">
        <v>1796</v>
      </c>
    </row>
    <row r="61" spans="1:8" x14ac:dyDescent="0.2">
      <c r="B61" s="47" t="s">
        <v>1784</v>
      </c>
      <c r="C61" s="47">
        <v>121</v>
      </c>
      <c r="D61" s="152">
        <f>C61/C60-1</f>
        <v>0</v>
      </c>
      <c r="E61" s="529">
        <f t="shared" si="0"/>
        <v>1</v>
      </c>
      <c r="G61" s="530">
        <f>PRODUCT(E58:E61)-1</f>
        <v>0.20999999999999996</v>
      </c>
    </row>
    <row r="63" spans="1:8" x14ac:dyDescent="0.2">
      <c r="A63" s="43" t="s">
        <v>1797</v>
      </c>
    </row>
    <row r="64" spans="1:8" x14ac:dyDescent="0.2">
      <c r="A64" s="43" t="s">
        <v>1798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2951</v>
      </c>
    </row>
    <row r="67" spans="1:8" x14ac:dyDescent="0.2">
      <c r="A67" s="43" t="s">
        <v>1799</v>
      </c>
    </row>
    <row r="68" spans="1:8" x14ac:dyDescent="0.2">
      <c r="A68" s="43" t="s">
        <v>1800</v>
      </c>
    </row>
    <row r="69" spans="1:8" x14ac:dyDescent="0.2">
      <c r="C69" s="206">
        <f>C61/C57-1</f>
        <v>0.20999999999999996</v>
      </c>
      <c r="F69" s="43" t="s">
        <v>1801</v>
      </c>
    </row>
    <row r="71" spans="1:8" x14ac:dyDescent="0.2">
      <c r="A71" s="180" t="s">
        <v>1802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1803</v>
      </c>
    </row>
    <row r="73" spans="1:8" x14ac:dyDescent="0.2">
      <c r="A73" s="43" t="s">
        <v>1804</v>
      </c>
    </row>
    <row r="74" spans="1:8" x14ac:dyDescent="0.2">
      <c r="A74" s="43" t="s">
        <v>1805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2954</v>
      </c>
    </row>
    <row r="78" spans="1:8" x14ac:dyDescent="0.2">
      <c r="A78" s="44"/>
    </row>
    <row r="79" spans="1:8" x14ac:dyDescent="0.2">
      <c r="A79" s="44" t="s">
        <v>2955</v>
      </c>
    </row>
    <row r="80" spans="1:8" x14ac:dyDescent="0.2">
      <c r="A80" s="44" t="s">
        <v>2956</v>
      </c>
    </row>
    <row r="81" spans="1:8" x14ac:dyDescent="0.2">
      <c r="A81" s="44"/>
    </row>
    <row r="82" spans="1:8" x14ac:dyDescent="0.2">
      <c r="A82" s="43" t="s">
        <v>2957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0">
        <f>105.7/103.1-1</f>
        <v>2.5218234723569433E-2</v>
      </c>
    </row>
    <row r="86" spans="1:8" x14ac:dyDescent="0.2">
      <c r="A86" s="44"/>
    </row>
    <row r="87" spans="1:8" x14ac:dyDescent="0.2">
      <c r="A87" s="43" t="s">
        <v>2958</v>
      </c>
    </row>
    <row r="88" spans="1:8" x14ac:dyDescent="0.2">
      <c r="A88" s="44"/>
      <c r="D88" s="43" t="s">
        <v>2960</v>
      </c>
      <c r="F88" s="43" t="s">
        <v>2959</v>
      </c>
    </row>
    <row r="89" spans="1:8" x14ac:dyDescent="0.2">
      <c r="A89" s="44"/>
    </row>
    <row r="90" spans="1:8" x14ac:dyDescent="0.2">
      <c r="A90" s="43" t="s">
        <v>2961</v>
      </c>
    </row>
    <row r="91" spans="1:8" x14ac:dyDescent="0.2">
      <c r="A91" s="44"/>
      <c r="D91" s="671">
        <f>105000*(1+D85)</f>
        <v>107647.91464597479</v>
      </c>
      <c r="F91" s="43" t="s">
        <v>2962</v>
      </c>
    </row>
    <row r="92" spans="1:8" x14ac:dyDescent="0.2">
      <c r="A92" s="44"/>
    </row>
    <row r="93" spans="1:8" x14ac:dyDescent="0.2">
      <c r="A93" s="44" t="s">
        <v>2963</v>
      </c>
    </row>
    <row r="94" spans="1:8" s="291" customFormat="1" x14ac:dyDescent="0.2">
      <c r="A94" s="532"/>
      <c r="B94" s="531"/>
      <c r="C94" s="531"/>
      <c r="D94" s="672">
        <f>D91</f>
        <v>107647.91464597479</v>
      </c>
      <c r="E94" s="531"/>
      <c r="F94" s="531"/>
      <c r="G94" s="531"/>
    </row>
    <row r="95" spans="1:8" x14ac:dyDescent="0.2">
      <c r="A95" s="444" t="s">
        <v>1806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1" t="s">
        <v>2964</v>
      </c>
      <c r="B96" s="673"/>
      <c r="C96" s="673"/>
      <c r="D96" s="673"/>
      <c r="E96" s="673"/>
      <c r="F96" s="673"/>
      <c r="G96" s="444"/>
      <c r="H96" s="444"/>
    </row>
    <row r="97" spans="1:8" x14ac:dyDescent="0.2">
      <c r="A97" s="531" t="s">
        <v>2965</v>
      </c>
      <c r="B97" s="673"/>
      <c r="C97" s="673"/>
      <c r="D97" s="673"/>
      <c r="E97" s="673"/>
      <c r="F97" s="673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8" t="s">
        <v>1807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2966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2967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2968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1808</v>
      </c>
    </row>
    <row r="105" spans="1:8" x14ac:dyDescent="0.2">
      <c r="A105" s="43" t="s">
        <v>1809</v>
      </c>
    </row>
    <row r="106" spans="1:8" x14ac:dyDescent="0.2">
      <c r="A106" s="43" t="s">
        <v>1810</v>
      </c>
    </row>
    <row r="108" spans="1:8" x14ac:dyDescent="0.2">
      <c r="A108" s="43" t="s">
        <v>321</v>
      </c>
    </row>
    <row r="109" spans="1:8" x14ac:dyDescent="0.2">
      <c r="A109" s="43" t="s">
        <v>2971</v>
      </c>
    </row>
    <row r="111" spans="1:8" x14ac:dyDescent="0.2">
      <c r="A111" s="43" t="s">
        <v>111</v>
      </c>
    </row>
    <row r="112" spans="1:8" x14ac:dyDescent="0.2">
      <c r="A112" s="43" t="s">
        <v>1811</v>
      </c>
    </row>
    <row r="113" spans="1:8" x14ac:dyDescent="0.2">
      <c r="A113" s="79" t="s">
        <v>1812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1813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1814</v>
      </c>
    </row>
    <row r="117" spans="1:8" x14ac:dyDescent="0.2">
      <c r="A117" s="43" t="s">
        <v>1815</v>
      </c>
    </row>
    <row r="119" spans="1:8" x14ac:dyDescent="0.2">
      <c r="A119" s="43" t="s">
        <v>1816</v>
      </c>
    </row>
    <row r="120" spans="1:8" x14ac:dyDescent="0.2">
      <c r="A120" s="44" t="s">
        <v>1817</v>
      </c>
      <c r="B120" s="44"/>
      <c r="C120" s="44"/>
      <c r="D120" s="44"/>
      <c r="E120" s="44"/>
    </row>
    <row r="130" spans="1:9" x14ac:dyDescent="0.2">
      <c r="A130" s="43" t="s">
        <v>2969</v>
      </c>
    </row>
    <row r="131" spans="1:9" x14ac:dyDescent="0.2">
      <c r="A131" s="43" t="s">
        <v>2970</v>
      </c>
    </row>
    <row r="133" spans="1:9" x14ac:dyDescent="0.2">
      <c r="A133" s="44" t="s">
        <v>1818</v>
      </c>
    </row>
    <row r="135" spans="1:9" x14ac:dyDescent="0.2">
      <c r="A135" s="44" t="s">
        <v>1819</v>
      </c>
    </row>
    <row r="136" spans="1:9" x14ac:dyDescent="0.2">
      <c r="A136" s="43" t="s">
        <v>1820</v>
      </c>
    </row>
    <row r="137" spans="1:9" x14ac:dyDescent="0.2">
      <c r="A137" s="43" t="s">
        <v>1821</v>
      </c>
    </row>
    <row r="139" spans="1:9" x14ac:dyDescent="0.2">
      <c r="A139" s="180" t="s">
        <v>1822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1823</v>
      </c>
    </row>
    <row r="141" spans="1:9" x14ac:dyDescent="0.2">
      <c r="A141" s="43" t="s">
        <v>1824</v>
      </c>
    </row>
    <row r="142" spans="1:9" x14ac:dyDescent="0.2">
      <c r="A142" s="43" t="s">
        <v>1825</v>
      </c>
    </row>
    <row r="143" spans="1:9" x14ac:dyDescent="0.2">
      <c r="A143" s="43" t="s">
        <v>1826</v>
      </c>
      <c r="I143"/>
    </row>
    <row r="144" spans="1:9" x14ac:dyDescent="0.2">
      <c r="I144"/>
    </row>
    <row r="145" spans="1:9" x14ac:dyDescent="0.2">
      <c r="A145" s="43" t="s">
        <v>1827</v>
      </c>
      <c r="I145"/>
    </row>
    <row r="146" spans="1:9" x14ac:dyDescent="0.2">
      <c r="A146" s="43" t="s">
        <v>1828</v>
      </c>
      <c r="H146" s="43" t="s">
        <v>2972</v>
      </c>
      <c r="I146"/>
    </row>
    <row r="147" spans="1:9" x14ac:dyDescent="0.2">
      <c r="A147" s="43" t="s">
        <v>1829</v>
      </c>
      <c r="I147"/>
    </row>
    <row r="148" spans="1:9" x14ac:dyDescent="0.2">
      <c r="E148" s="76">
        <f>10000*1.06*1.0283</f>
        <v>10899.98</v>
      </c>
      <c r="H148" s="43" t="s">
        <v>2973</v>
      </c>
      <c r="I148"/>
    </row>
    <row r="149" spans="1:9" x14ac:dyDescent="0.2">
      <c r="I149"/>
    </row>
    <row r="150" spans="1:9" x14ac:dyDescent="0.2">
      <c r="A150" s="43" t="s">
        <v>2974</v>
      </c>
      <c r="I150"/>
    </row>
    <row r="151" spans="1:9" x14ac:dyDescent="0.2">
      <c r="I151"/>
    </row>
    <row r="152" spans="1:9" x14ac:dyDescent="0.2">
      <c r="A152" s="180" t="s">
        <v>1830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2977</v>
      </c>
      <c r="I153"/>
    </row>
    <row r="154" spans="1:9" x14ac:dyDescent="0.2">
      <c r="A154" s="43" t="s">
        <v>1831</v>
      </c>
      <c r="I154"/>
    </row>
    <row r="155" spans="1:9" x14ac:dyDescent="0.2">
      <c r="A155" s="43" t="s">
        <v>1832</v>
      </c>
      <c r="I155"/>
    </row>
    <row r="156" spans="1:9" x14ac:dyDescent="0.2">
      <c r="A156" s="43" t="s">
        <v>1833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2975</v>
      </c>
      <c r="I159"/>
    </row>
    <row r="160" spans="1:9" x14ac:dyDescent="0.2">
      <c r="A160" s="43" t="s">
        <v>2976</v>
      </c>
      <c r="I160"/>
    </row>
    <row r="161" spans="1:9" x14ac:dyDescent="0.2">
      <c r="A161" s="43" t="s">
        <v>2978</v>
      </c>
      <c r="I161"/>
    </row>
    <row r="162" spans="1:9" x14ac:dyDescent="0.2">
      <c r="A162" s="43" t="s">
        <v>2979</v>
      </c>
      <c r="E162" s="161">
        <v>5.0000000000000001E-3</v>
      </c>
      <c r="F162" s="43" t="s">
        <v>87</v>
      </c>
      <c r="G162" s="43" t="s">
        <v>2981</v>
      </c>
      <c r="I162"/>
    </row>
    <row r="163" spans="1:9" x14ac:dyDescent="0.2">
      <c r="E163" s="43">
        <v>30</v>
      </c>
      <c r="F163" s="43" t="s">
        <v>89</v>
      </c>
      <c r="G163" s="43" t="s">
        <v>2980</v>
      </c>
      <c r="I163"/>
    </row>
    <row r="164" spans="1:9" x14ac:dyDescent="0.2">
      <c r="E164" s="43">
        <v>100000</v>
      </c>
      <c r="F164" s="43" t="s">
        <v>281</v>
      </c>
      <c r="G164" s="43" t="s">
        <v>2982</v>
      </c>
      <c r="I164"/>
    </row>
    <row r="165" spans="1:9" x14ac:dyDescent="0.2">
      <c r="A165" s="43" t="s">
        <v>2985</v>
      </c>
      <c r="E165" s="209">
        <f>PMT(E162,E163,E164,E166)</f>
        <v>-3597.8918413828028</v>
      </c>
      <c r="F165" s="43" t="s">
        <v>91</v>
      </c>
      <c r="G165" s="43" t="s">
        <v>2984</v>
      </c>
      <c r="I165"/>
    </row>
    <row r="166" spans="1:9" x14ac:dyDescent="0.2">
      <c r="E166" s="43">
        <v>0</v>
      </c>
      <c r="F166" s="43" t="s">
        <v>105</v>
      </c>
      <c r="G166" s="43" t="s">
        <v>2983</v>
      </c>
      <c r="I166"/>
    </row>
    <row r="167" spans="1:9" ht="16" thickBot="1" x14ac:dyDescent="0.25">
      <c r="I167"/>
    </row>
    <row r="168" spans="1:9" ht="16" thickBot="1" x14ac:dyDescent="0.25">
      <c r="A168" s="43" t="s">
        <v>1834</v>
      </c>
      <c r="F168" s="211">
        <f>-E165*1.011</f>
        <v>3637.4686516380134</v>
      </c>
      <c r="H168" s="43" t="s">
        <v>1835</v>
      </c>
      <c r="I168"/>
    </row>
    <row r="169" spans="1:9" x14ac:dyDescent="0.2">
      <c r="I169"/>
    </row>
    <row r="170" spans="1:9" x14ac:dyDescent="0.2">
      <c r="B170" s="43" t="s">
        <v>2986</v>
      </c>
      <c r="I170"/>
    </row>
    <row r="171" spans="1:9" x14ac:dyDescent="0.2">
      <c r="I171"/>
    </row>
    <row r="172" spans="1:9" ht="16" thickBot="1" x14ac:dyDescent="0.25">
      <c r="A172" s="43" t="s">
        <v>1836</v>
      </c>
      <c r="I172"/>
    </row>
    <row r="173" spans="1:9" ht="16" thickBot="1" x14ac:dyDescent="0.25">
      <c r="F173" s="211">
        <f>-E165*114.4/110</f>
        <v>3741.8075150381151</v>
      </c>
      <c r="H173" s="43" t="s">
        <v>1837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2987</v>
      </c>
      <c r="I178"/>
    </row>
    <row r="179" spans="1:9" x14ac:dyDescent="0.2">
      <c r="F179" s="674">
        <f>114.4/110-1</f>
        <v>4.0000000000000036E-2</v>
      </c>
      <c r="H179" s="43" t="s">
        <v>2988</v>
      </c>
      <c r="I179"/>
    </row>
    <row r="180" spans="1:9" x14ac:dyDescent="0.2">
      <c r="I180"/>
    </row>
    <row r="181" spans="1:9" ht="16" thickBot="1" x14ac:dyDescent="0.25">
      <c r="A181" s="43" t="s">
        <v>2989</v>
      </c>
      <c r="I181"/>
    </row>
    <row r="182" spans="1:9" ht="16" thickBot="1" x14ac:dyDescent="0.25">
      <c r="F182" s="675">
        <f>F173</f>
        <v>3741.8075150381151</v>
      </c>
      <c r="H182" s="43" t="s">
        <v>2990</v>
      </c>
      <c r="I182"/>
    </row>
    <row r="183" spans="1:9" x14ac:dyDescent="0.2">
      <c r="I183"/>
    </row>
    <row r="184" spans="1:9" x14ac:dyDescent="0.2">
      <c r="A184" s="44" t="s">
        <v>1838</v>
      </c>
      <c r="I184"/>
    </row>
    <row r="185" spans="1:9" x14ac:dyDescent="0.2">
      <c r="B185" s="43" t="s">
        <v>1839</v>
      </c>
      <c r="I185"/>
    </row>
    <row r="186" spans="1:9" x14ac:dyDescent="0.2">
      <c r="B186" s="43" t="s">
        <v>1840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2991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2992</v>
      </c>
      <c r="I189"/>
    </row>
    <row r="190" spans="1:9" x14ac:dyDescent="0.2">
      <c r="B190" s="43" t="s">
        <v>1841</v>
      </c>
      <c r="E190" s="209">
        <f>PV(E188,E189,E191,E192)</f>
        <v>84354.869789935503</v>
      </c>
      <c r="F190" s="43" t="s">
        <v>281</v>
      </c>
      <c r="G190" s="43" t="s">
        <v>2994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1842</v>
      </c>
      <c r="I191"/>
    </row>
    <row r="192" spans="1:9" x14ac:dyDescent="0.2">
      <c r="E192" s="43">
        <v>0</v>
      </c>
      <c r="F192" s="43" t="s">
        <v>105</v>
      </c>
      <c r="G192" s="43" t="s">
        <v>2993</v>
      </c>
      <c r="I192"/>
    </row>
    <row r="193" spans="1:9" x14ac:dyDescent="0.2">
      <c r="I193"/>
    </row>
    <row r="194" spans="1:9" ht="16" thickBot="1" x14ac:dyDescent="0.25">
      <c r="B194" s="43" t="s">
        <v>1843</v>
      </c>
      <c r="I194"/>
    </row>
    <row r="195" spans="1:9" ht="16" thickBot="1" x14ac:dyDescent="0.25">
      <c r="E195" s="211">
        <f>E190*114.4/110</f>
        <v>87729.064581532934</v>
      </c>
      <c r="H195" s="43" t="s">
        <v>2995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2996</v>
      </c>
      <c r="I198"/>
    </row>
    <row r="199" spans="1:9" x14ac:dyDescent="0.2">
      <c r="A199" s="44" t="s">
        <v>2997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1844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1845</v>
      </c>
    </row>
    <row r="206" spans="1:9" x14ac:dyDescent="0.2">
      <c r="A206" s="59" t="s">
        <v>1154</v>
      </c>
      <c r="B206" s="59" t="s">
        <v>1846</v>
      </c>
    </row>
    <row r="207" spans="1:9" x14ac:dyDescent="0.2">
      <c r="A207" s="43" t="s">
        <v>1847</v>
      </c>
      <c r="B207" s="161">
        <v>5.0000000000000001E-3</v>
      </c>
    </row>
    <row r="208" spans="1:9" x14ac:dyDescent="0.2">
      <c r="A208" s="43" t="s">
        <v>1848</v>
      </c>
      <c r="B208" s="161">
        <v>5.0000000000000001E-3</v>
      </c>
    </row>
    <row r="209" spans="1:2" x14ac:dyDescent="0.2">
      <c r="A209" s="43" t="s">
        <v>1849</v>
      </c>
      <c r="B209" s="161">
        <v>-2E-3</v>
      </c>
    </row>
    <row r="210" spans="1:2" x14ac:dyDescent="0.2">
      <c r="A210" s="43" t="s">
        <v>1850</v>
      </c>
      <c r="B210" s="161">
        <v>-4.0000000000000001E-3</v>
      </c>
    </row>
    <row r="211" spans="1:2" x14ac:dyDescent="0.2">
      <c r="A211" s="43" t="s">
        <v>1851</v>
      </c>
      <c r="B211" s="161">
        <v>-2E-3</v>
      </c>
    </row>
    <row r="212" spans="1:2" x14ac:dyDescent="0.2">
      <c r="A212" s="43" t="s">
        <v>1852</v>
      </c>
      <c r="B212" s="161">
        <v>5.0000000000000001E-3</v>
      </c>
    </row>
    <row r="213" spans="1:2" x14ac:dyDescent="0.2">
      <c r="A213" s="43" t="s">
        <v>1853</v>
      </c>
      <c r="B213" s="161">
        <v>3.0000000000000001E-3</v>
      </c>
    </row>
    <row r="214" spans="1:2" x14ac:dyDescent="0.2">
      <c r="A214" s="43" t="s">
        <v>1854</v>
      </c>
      <c r="B214" s="161">
        <v>-0.02</v>
      </c>
    </row>
    <row r="215" spans="1:2" x14ac:dyDescent="0.2">
      <c r="A215" s="43" t="s">
        <v>1855</v>
      </c>
      <c r="B215" s="161">
        <v>3.0000000000000001E-3</v>
      </c>
    </row>
    <row r="216" spans="1:2" x14ac:dyDescent="0.2">
      <c r="A216" s="43" t="s">
        <v>1856</v>
      </c>
      <c r="B216" s="161">
        <v>5.0000000000000001E-3</v>
      </c>
    </row>
    <row r="217" spans="1:2" x14ac:dyDescent="0.2">
      <c r="A217" s="43" t="s">
        <v>1857</v>
      </c>
      <c r="B217" s="161">
        <v>-2E-3</v>
      </c>
    </row>
    <row r="218" spans="1:2" x14ac:dyDescent="0.2">
      <c r="A218" s="43" t="s">
        <v>1858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1859</v>
      </c>
    </row>
    <row r="222" spans="1:2" x14ac:dyDescent="0.2">
      <c r="A222" s="43" t="s">
        <v>1860</v>
      </c>
    </row>
    <row r="224" spans="1:2" x14ac:dyDescent="0.2">
      <c r="A224" s="44" t="s">
        <v>2998</v>
      </c>
    </row>
    <row r="225" spans="1:8" x14ac:dyDescent="0.2">
      <c r="A225" s="59" t="s">
        <v>1154</v>
      </c>
      <c r="B225" s="59" t="s">
        <v>1846</v>
      </c>
      <c r="C225" s="49" t="s">
        <v>1861</v>
      </c>
    </row>
    <row r="226" spans="1:8" x14ac:dyDescent="0.2">
      <c r="A226" s="43" t="s">
        <v>1847</v>
      </c>
      <c r="B226" s="161">
        <v>5.0000000000000001E-3</v>
      </c>
      <c r="C226" s="161">
        <f>B226+1</f>
        <v>1.0049999999999999</v>
      </c>
      <c r="E226" s="43" t="s">
        <v>1862</v>
      </c>
    </row>
    <row r="227" spans="1:8" x14ac:dyDescent="0.2">
      <c r="A227" s="43" t="s">
        <v>1848</v>
      </c>
      <c r="B227" s="161">
        <v>5.0000000000000001E-3</v>
      </c>
      <c r="C227" s="161">
        <f t="shared" ref="C227:C237" si="1">B227+1</f>
        <v>1.0049999999999999</v>
      </c>
      <c r="E227" s="212"/>
      <c r="H227" s="676">
        <f>PRODUCT(C226:C237)-1</f>
        <v>-1.2792248369833947E-3</v>
      </c>
    </row>
    <row r="228" spans="1:8" x14ac:dyDescent="0.2">
      <c r="A228" s="43" t="s">
        <v>1849</v>
      </c>
      <c r="B228" s="161">
        <v>-2E-3</v>
      </c>
      <c r="C228" s="161">
        <f t="shared" si="1"/>
        <v>0.998</v>
      </c>
      <c r="E228" s="43" t="s">
        <v>2999</v>
      </c>
    </row>
    <row r="229" spans="1:8" x14ac:dyDescent="0.2">
      <c r="A229" s="43" t="s">
        <v>1850</v>
      </c>
      <c r="B229" s="161">
        <v>-4.0000000000000001E-3</v>
      </c>
      <c r="C229" s="161">
        <f t="shared" si="1"/>
        <v>0.996</v>
      </c>
      <c r="E229" s="43" t="s">
        <v>1863</v>
      </c>
    </row>
    <row r="230" spans="1:8" ht="16" thickBot="1" x14ac:dyDescent="0.25">
      <c r="A230" s="43" t="s">
        <v>1851</v>
      </c>
      <c r="B230" s="161">
        <v>-2E-3</v>
      </c>
      <c r="C230" s="161">
        <f t="shared" si="1"/>
        <v>0.998</v>
      </c>
    </row>
    <row r="231" spans="1:8" x14ac:dyDescent="0.2">
      <c r="A231" s="43" t="s">
        <v>1852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1853</v>
      </c>
      <c r="B232" s="161">
        <v>3.0000000000000001E-3</v>
      </c>
      <c r="C232" s="161">
        <f t="shared" si="1"/>
        <v>1.0029999999999999</v>
      </c>
      <c r="E232" s="216" t="s">
        <v>3000</v>
      </c>
      <c r="H232" s="217"/>
    </row>
    <row r="233" spans="1:8" ht="16" thickBot="1" x14ac:dyDescent="0.25">
      <c r="A233" s="43" t="s">
        <v>1854</v>
      </c>
      <c r="B233" s="161">
        <v>-0.02</v>
      </c>
      <c r="C233" s="161">
        <f t="shared" si="1"/>
        <v>0.98</v>
      </c>
      <c r="E233" s="218" t="s">
        <v>3001</v>
      </c>
      <c r="F233" s="219"/>
      <c r="G233" s="219"/>
      <c r="H233" s="220"/>
    </row>
    <row r="234" spans="1:8" ht="16" thickBot="1" x14ac:dyDescent="0.25">
      <c r="A234" s="43" t="s">
        <v>1855</v>
      </c>
      <c r="B234" s="161">
        <v>3.0000000000000001E-3</v>
      </c>
      <c r="C234" s="161">
        <f t="shared" si="1"/>
        <v>1.0029999999999999</v>
      </c>
      <c r="E234" s="43" t="s">
        <v>1864</v>
      </c>
    </row>
    <row r="235" spans="1:8" x14ac:dyDescent="0.2">
      <c r="A235" s="43" t="s">
        <v>1856</v>
      </c>
      <c r="B235" s="161">
        <v>5.0000000000000001E-3</v>
      </c>
      <c r="C235" s="161">
        <f t="shared" si="1"/>
        <v>1.0049999999999999</v>
      </c>
      <c r="E235" s="324" t="s">
        <v>1865</v>
      </c>
      <c r="F235" s="214"/>
      <c r="G235" s="214"/>
      <c r="H235" s="215"/>
    </row>
    <row r="236" spans="1:8" x14ac:dyDescent="0.2">
      <c r="A236" s="43" t="s">
        <v>1857</v>
      </c>
      <c r="B236" s="161">
        <v>-2E-3</v>
      </c>
      <c r="C236" s="161">
        <f t="shared" si="1"/>
        <v>0.998</v>
      </c>
      <c r="E236" s="323" t="s">
        <v>1866</v>
      </c>
      <c r="H236" s="217"/>
    </row>
    <row r="237" spans="1:8" ht="16" thickBot="1" x14ac:dyDescent="0.25">
      <c r="A237" s="43" t="s">
        <v>1858</v>
      </c>
      <c r="B237" s="161">
        <v>3.0000000000000001E-3</v>
      </c>
      <c r="C237" s="161">
        <f t="shared" si="1"/>
        <v>1.0029999999999999</v>
      </c>
      <c r="E237" s="236" t="s">
        <v>1867</v>
      </c>
      <c r="F237" s="219"/>
      <c r="G237" s="219"/>
      <c r="H237" s="220"/>
    </row>
    <row r="240" spans="1:8" x14ac:dyDescent="0.2">
      <c r="E240" s="714">
        <f>(1+4.8%/12)^12-1</f>
        <v>4.9070207534805954E-2</v>
      </c>
    </row>
    <row r="241" spans="1:8" ht="16" thickBot="1" x14ac:dyDescent="0.25">
      <c r="E241" s="715"/>
    </row>
    <row r="242" spans="1:8" x14ac:dyDescent="0.2">
      <c r="E242" s="324" t="s">
        <v>1868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1869</v>
      </c>
      <c r="C246" s="677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1870</v>
      </c>
    </row>
    <row r="250" spans="1:8" x14ac:dyDescent="0.2">
      <c r="A250" s="221" t="s">
        <v>1871</v>
      </c>
    </row>
    <row r="251" spans="1:8" x14ac:dyDescent="0.2">
      <c r="A251" s="221"/>
    </row>
    <row r="252" spans="1:8" x14ac:dyDescent="0.2">
      <c r="A252" s="222" t="s">
        <v>3002</v>
      </c>
    </row>
    <row r="253" spans="1:8" x14ac:dyDescent="0.2">
      <c r="A253" s="222"/>
    </row>
    <row r="254" spans="1:8" x14ac:dyDescent="0.2">
      <c r="A254" s="223" t="s">
        <v>1872</v>
      </c>
    </row>
    <row r="255" spans="1:8" x14ac:dyDescent="0.2">
      <c r="A255" s="223"/>
    </row>
    <row r="256" spans="1:8" x14ac:dyDescent="0.2">
      <c r="A256" s="224" t="s">
        <v>1873</v>
      </c>
    </row>
    <row r="257" spans="1:8" x14ac:dyDescent="0.2">
      <c r="A257" s="224"/>
    </row>
    <row r="258" spans="1:8" x14ac:dyDescent="0.2">
      <c r="A258" s="225" t="s">
        <v>1874</v>
      </c>
    </row>
    <row r="260" spans="1:8" x14ac:dyDescent="0.2">
      <c r="A260" s="181" t="s">
        <v>1875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1876</v>
      </c>
    </row>
    <row r="262" spans="1:8" x14ac:dyDescent="0.2">
      <c r="A262" s="43" t="s">
        <v>1877</v>
      </c>
    </row>
    <row r="263" spans="1:8" x14ac:dyDescent="0.2">
      <c r="A263" s="43" t="s">
        <v>1878</v>
      </c>
    </row>
    <row r="264" spans="1:8" x14ac:dyDescent="0.2">
      <c r="A264" s="43" t="s">
        <v>1879</v>
      </c>
    </row>
    <row r="265" spans="1:8" x14ac:dyDescent="0.2">
      <c r="A265" s="43" t="s">
        <v>1880</v>
      </c>
    </row>
    <row r="267" spans="1:8" x14ac:dyDescent="0.2">
      <c r="A267" s="44" t="s">
        <v>111</v>
      </c>
    </row>
    <row r="269" spans="1:8" ht="16" thickBot="1" x14ac:dyDescent="0.25">
      <c r="A269" s="43" t="s">
        <v>1881</v>
      </c>
    </row>
    <row r="270" spans="1:8" ht="16" thickBot="1" x14ac:dyDescent="0.25">
      <c r="E270" s="226">
        <f>1.02*1.045-1</f>
        <v>6.5899999999999848E-2</v>
      </c>
      <c r="G270" s="43" t="s">
        <v>1882</v>
      </c>
    </row>
    <row r="272" spans="1:8" x14ac:dyDescent="0.2">
      <c r="A272" s="43" t="s">
        <v>1883</v>
      </c>
    </row>
    <row r="273" spans="1:8" ht="16" thickBot="1" x14ac:dyDescent="0.25">
      <c r="A273" s="43" t="s">
        <v>1884</v>
      </c>
    </row>
    <row r="274" spans="1:8" ht="16" thickBot="1" x14ac:dyDescent="0.25">
      <c r="E274" s="227">
        <f>(1+E270)/1.045-1</f>
        <v>2.0000000000000018E-2</v>
      </c>
      <c r="G274" s="43" t="s">
        <v>1885</v>
      </c>
    </row>
    <row r="276" spans="1:8" x14ac:dyDescent="0.2">
      <c r="A276" s="182" t="s">
        <v>1886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1887</v>
      </c>
    </row>
    <row r="278" spans="1:8" x14ac:dyDescent="0.2">
      <c r="A278" s="43" t="s">
        <v>1888</v>
      </c>
    </row>
    <row r="279" spans="1:8" x14ac:dyDescent="0.2">
      <c r="A279" s="43" t="s">
        <v>1889</v>
      </c>
    </row>
    <row r="281" spans="1:8" x14ac:dyDescent="0.2">
      <c r="A281" s="44" t="s">
        <v>111</v>
      </c>
    </row>
    <row r="283" spans="1:8" x14ac:dyDescent="0.2">
      <c r="A283" s="43" t="s">
        <v>1890</v>
      </c>
      <c r="D283" s="43">
        <f>500000*1.028</f>
        <v>514000</v>
      </c>
    </row>
    <row r="284" spans="1:8" x14ac:dyDescent="0.2">
      <c r="A284" s="43" t="s">
        <v>1891</v>
      </c>
      <c r="D284" s="156">
        <f>1.028/1.037-1</f>
        <v>-8.6788813886209404E-3</v>
      </c>
    </row>
    <row r="286" spans="1:8" x14ac:dyDescent="0.2">
      <c r="A286" s="43" t="s">
        <v>1892</v>
      </c>
    </row>
    <row r="287" spans="1:8" x14ac:dyDescent="0.2">
      <c r="A287" s="43" t="s">
        <v>1893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6" t="s">
        <v>2402</v>
      </c>
      <c r="B1" s="706"/>
      <c r="C1" s="706"/>
      <c r="D1" s="706"/>
      <c r="E1" s="706"/>
      <c r="F1" s="706"/>
      <c r="G1" s="706"/>
      <c r="H1" s="706"/>
    </row>
    <row r="3" spans="1:8" x14ac:dyDescent="0.2">
      <c r="A3" s="44" t="s">
        <v>1894</v>
      </c>
    </row>
    <row r="4" spans="1:8" x14ac:dyDescent="0.2">
      <c r="A4" s="43" t="s">
        <v>1895</v>
      </c>
    </row>
    <row r="5" spans="1:8" x14ac:dyDescent="0.2">
      <c r="A5" s="43" t="s">
        <v>1896</v>
      </c>
    </row>
    <row r="6" spans="1:8" x14ac:dyDescent="0.2">
      <c r="A6" s="43" t="s">
        <v>1897</v>
      </c>
    </row>
    <row r="8" spans="1:8" x14ac:dyDescent="0.2">
      <c r="A8" s="43" t="s">
        <v>1898</v>
      </c>
      <c r="B8" s="43" t="s">
        <v>1949</v>
      </c>
    </row>
    <row r="9" spans="1:8" x14ac:dyDescent="0.2">
      <c r="A9" s="229" t="s">
        <v>1950</v>
      </c>
      <c r="B9" s="43" t="s">
        <v>1899</v>
      </c>
    </row>
    <row r="10" spans="1:8" x14ac:dyDescent="0.2">
      <c r="B10" s="43" t="s">
        <v>1900</v>
      </c>
    </row>
    <row r="11" spans="1:8" x14ac:dyDescent="0.2">
      <c r="B11" s="43" t="s">
        <v>1901</v>
      </c>
    </row>
    <row r="12" spans="1:8" x14ac:dyDescent="0.2">
      <c r="B12" s="43" t="s">
        <v>1902</v>
      </c>
    </row>
    <row r="14" spans="1:8" x14ac:dyDescent="0.2">
      <c r="A14" s="43" t="s">
        <v>1903</v>
      </c>
      <c r="B14" s="43" t="s">
        <v>1951</v>
      </c>
    </row>
    <row r="15" spans="1:8" x14ac:dyDescent="0.2">
      <c r="A15" s="229" t="s">
        <v>1952</v>
      </c>
      <c r="B15" s="43" t="s">
        <v>1904</v>
      </c>
    </row>
    <row r="16" spans="1:8" x14ac:dyDescent="0.2">
      <c r="B16" s="43" t="s">
        <v>1905</v>
      </c>
    </row>
    <row r="18" spans="1:8" x14ac:dyDescent="0.2">
      <c r="B18" s="43" t="s">
        <v>1953</v>
      </c>
    </row>
    <row r="19" spans="1:8" x14ac:dyDescent="0.2">
      <c r="B19" s="43" t="s">
        <v>1906</v>
      </c>
    </row>
    <row r="21" spans="1:8" x14ac:dyDescent="0.2">
      <c r="A21" s="45" t="s">
        <v>1907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1954</v>
      </c>
    </row>
    <row r="23" spans="1:8" x14ac:dyDescent="0.2">
      <c r="A23" s="43" t="s">
        <v>1908</v>
      </c>
    </row>
    <row r="24" spans="1:8" x14ac:dyDescent="0.2">
      <c r="A24" s="43" t="s">
        <v>1909</v>
      </c>
    </row>
    <row r="26" spans="1:8" x14ac:dyDescent="0.2">
      <c r="A26" s="44" t="s">
        <v>111</v>
      </c>
    </row>
    <row r="27" spans="1:8" x14ac:dyDescent="0.2">
      <c r="A27" s="43" t="s">
        <v>1955</v>
      </c>
    </row>
    <row r="28" spans="1:8" x14ac:dyDescent="0.2">
      <c r="A28" s="43" t="s">
        <v>1956</v>
      </c>
    </row>
    <row r="29" spans="1:8" x14ac:dyDescent="0.2">
      <c r="A29" s="43" t="s">
        <v>1957</v>
      </c>
    </row>
    <row r="30" spans="1:8" x14ac:dyDescent="0.2">
      <c r="A30" s="43" t="s">
        <v>1958</v>
      </c>
    </row>
    <row r="31" spans="1:8" ht="16" thickBot="1" x14ac:dyDescent="0.25"/>
    <row r="32" spans="1:8" x14ac:dyDescent="0.2">
      <c r="B32" s="80" t="s">
        <v>1959</v>
      </c>
      <c r="C32" s="80" t="s">
        <v>1960</v>
      </c>
      <c r="E32" s="324" t="s">
        <v>2403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2404</v>
      </c>
      <c r="H33" s="217"/>
    </row>
    <row r="34" spans="1:8" x14ac:dyDescent="0.2">
      <c r="B34" s="80">
        <v>1</v>
      </c>
      <c r="C34" s="80">
        <v>80</v>
      </c>
      <c r="E34" s="323" t="s">
        <v>2405</v>
      </c>
      <c r="H34" s="217"/>
    </row>
    <row r="35" spans="1:8" ht="16" thickBot="1" x14ac:dyDescent="0.25">
      <c r="B35" s="80">
        <v>2</v>
      </c>
      <c r="C35" s="80">
        <v>90</v>
      </c>
      <c r="E35" s="236" t="s">
        <v>2406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1961</v>
      </c>
      <c r="C38" s="54">
        <v>0.1</v>
      </c>
      <c r="D38" s="43" t="s">
        <v>1962</v>
      </c>
      <c r="F38" s="43" t="s">
        <v>1963</v>
      </c>
    </row>
    <row r="39" spans="1:8" ht="16" thickBot="1" x14ac:dyDescent="0.25">
      <c r="C39" s="231">
        <f>NPV(C38,C34:C36)+C33</f>
        <v>99.699474079639344</v>
      </c>
      <c r="D39" s="43" t="s">
        <v>1964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1965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1966</v>
      </c>
      <c r="B42" s="219"/>
      <c r="C42" s="237"/>
      <c r="D42" s="219"/>
      <c r="E42" s="220"/>
      <c r="F42" s="47" t="s">
        <v>1933</v>
      </c>
      <c r="G42" s="43" t="s">
        <v>265</v>
      </c>
    </row>
    <row r="43" spans="1:8" x14ac:dyDescent="0.2">
      <c r="C43" s="230"/>
      <c r="F43" s="47" t="s">
        <v>1967</v>
      </c>
      <c r="G43" s="43" t="s">
        <v>1968</v>
      </c>
    </row>
    <row r="44" spans="1:8" x14ac:dyDescent="0.2">
      <c r="F44" s="47" t="s">
        <v>1969</v>
      </c>
      <c r="G44" s="43" t="s">
        <v>1970</v>
      </c>
    </row>
    <row r="45" spans="1:8" x14ac:dyDescent="0.2">
      <c r="F45" s="47" t="s">
        <v>1971</v>
      </c>
      <c r="G45" s="43" t="s">
        <v>1972</v>
      </c>
    </row>
    <row r="46" spans="1:8" x14ac:dyDescent="0.2">
      <c r="A46" s="43" t="s">
        <v>2407</v>
      </c>
    </row>
    <row r="47" spans="1:8" x14ac:dyDescent="0.2">
      <c r="A47" s="43" t="s">
        <v>1973</v>
      </c>
    </row>
    <row r="48" spans="1:8" x14ac:dyDescent="0.2">
      <c r="A48" s="43" t="s">
        <v>1974</v>
      </c>
    </row>
    <row r="50" spans="1:11" x14ac:dyDescent="0.2">
      <c r="B50" s="80" t="s">
        <v>1959</v>
      </c>
      <c r="C50" s="80" t="s">
        <v>1960</v>
      </c>
      <c r="D50" s="80" t="s">
        <v>153</v>
      </c>
      <c r="E50" s="80" t="s">
        <v>991</v>
      </c>
      <c r="F50" s="233" t="s">
        <v>992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1910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1911</v>
      </c>
      <c r="J65" s="43">
        <v>0</v>
      </c>
      <c r="K65" s="43">
        <v>-400</v>
      </c>
    </row>
    <row r="66" spans="1:11" x14ac:dyDescent="0.2">
      <c r="A66" s="43" t="s">
        <v>1912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1975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1976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1977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1978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1979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1980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1981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1982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1983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1984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1985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1986</v>
      </c>
      <c r="F84" s="74">
        <v>-400000</v>
      </c>
      <c r="G84" s="43" t="s">
        <v>1961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1987</v>
      </c>
      <c r="E85" s="149" t="s">
        <v>1988</v>
      </c>
      <c r="F85" s="238">
        <f>F83+F84</f>
        <v>-211461.7106602336</v>
      </c>
      <c r="G85" s="43" t="s">
        <v>1989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1990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1991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1992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1993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2408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1913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1914</v>
      </c>
    </row>
    <row r="102" spans="1:8" x14ac:dyDescent="0.2">
      <c r="A102" s="43" t="s">
        <v>1915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1994</v>
      </c>
    </row>
    <row r="106" spans="1:8" x14ac:dyDescent="0.2">
      <c r="B106" s="80">
        <v>0</v>
      </c>
      <c r="C106" s="80">
        <v>-500</v>
      </c>
      <c r="E106" s="43" t="s">
        <v>1995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1996</v>
      </c>
      <c r="F114" s="43" t="str">
        <f ca="1">_xlfn.FORMULATEXT(C114)</f>
        <v>=IRR(C106:C112)</v>
      </c>
    </row>
    <row r="116" spans="1:8" x14ac:dyDescent="0.2">
      <c r="B116" s="43" t="s">
        <v>1997</v>
      </c>
    </row>
    <row r="117" spans="1:8" x14ac:dyDescent="0.2">
      <c r="B117" s="43" t="s">
        <v>1998</v>
      </c>
    </row>
    <row r="118" spans="1:8" x14ac:dyDescent="0.2">
      <c r="B118" s="43" t="s">
        <v>1999</v>
      </c>
    </row>
    <row r="120" spans="1:8" x14ac:dyDescent="0.2">
      <c r="A120" s="43" t="s">
        <v>291</v>
      </c>
    </row>
    <row r="121" spans="1:8" x14ac:dyDescent="0.2">
      <c r="B121" s="43" t="s">
        <v>2000</v>
      </c>
    </row>
    <row r="122" spans="1:8" x14ac:dyDescent="0.2">
      <c r="B122" s="43" t="s">
        <v>2001</v>
      </c>
    </row>
    <row r="123" spans="1:8" ht="16" thickBot="1" x14ac:dyDescent="0.25"/>
    <row r="124" spans="1:8" ht="16" thickBot="1" x14ac:dyDescent="0.25">
      <c r="A124" s="43" t="s">
        <v>1175</v>
      </c>
      <c r="C124" s="536" t="s">
        <v>2002</v>
      </c>
      <c r="D124" s="537" t="s">
        <v>2003</v>
      </c>
      <c r="E124" s="538" t="s">
        <v>2004</v>
      </c>
      <c r="F124" s="539" t="s">
        <v>2005</v>
      </c>
    </row>
    <row r="125" spans="1:8" x14ac:dyDescent="0.2">
      <c r="C125" s="540" t="s">
        <v>1933</v>
      </c>
      <c r="D125" s="534" t="s">
        <v>2006</v>
      </c>
      <c r="E125" s="535" t="s">
        <v>2007</v>
      </c>
      <c r="F125" s="535" t="s">
        <v>2008</v>
      </c>
    </row>
    <row r="126" spans="1:8" ht="16" thickBot="1" x14ac:dyDescent="0.25">
      <c r="C126" s="541" t="s">
        <v>1927</v>
      </c>
      <c r="D126" s="533" t="s">
        <v>2009</v>
      </c>
      <c r="E126" s="80" t="s">
        <v>2010</v>
      </c>
      <c r="F126" s="80" t="s">
        <v>2011</v>
      </c>
    </row>
    <row r="128" spans="1:8" x14ac:dyDescent="0.2">
      <c r="A128" s="45" t="s">
        <v>1916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1917</v>
      </c>
    </row>
    <row r="130" spans="1:5" x14ac:dyDescent="0.2">
      <c r="A130" s="43" t="s">
        <v>1918</v>
      </c>
    </row>
    <row r="132" spans="1:5" x14ac:dyDescent="0.2">
      <c r="B132" s="80" t="s">
        <v>1146</v>
      </c>
      <c r="C132" s="80" t="s">
        <v>1919</v>
      </c>
      <c r="D132" s="80" t="s">
        <v>1920</v>
      </c>
      <c r="E132" s="80" t="s">
        <v>1921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1922</v>
      </c>
    </row>
    <row r="138" spans="1:5" x14ac:dyDescent="0.2">
      <c r="A138" s="43" t="s">
        <v>1923</v>
      </c>
    </row>
    <row r="139" spans="1:5" x14ac:dyDescent="0.2">
      <c r="A139" s="43" t="s">
        <v>1924</v>
      </c>
    </row>
    <row r="141" spans="1:5" x14ac:dyDescent="0.2">
      <c r="A141" s="43" t="s">
        <v>2012</v>
      </c>
    </row>
    <row r="142" spans="1:5" x14ac:dyDescent="0.2">
      <c r="B142" s="80" t="s">
        <v>1146</v>
      </c>
      <c r="C142" s="80" t="s">
        <v>1919</v>
      </c>
      <c r="D142" s="80" t="s">
        <v>1920</v>
      </c>
      <c r="E142" s="80" t="s">
        <v>1921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1933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2013</v>
      </c>
    </row>
    <row r="149" spans="1:8" x14ac:dyDescent="0.2">
      <c r="B149" s="47" t="s">
        <v>1927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2014</v>
      </c>
    </row>
    <row r="151" spans="1:8" x14ac:dyDescent="0.2">
      <c r="A151" s="43" t="s">
        <v>2015</v>
      </c>
    </row>
    <row r="152" spans="1:8" x14ac:dyDescent="0.2">
      <c r="A152" s="43" t="s">
        <v>2016</v>
      </c>
    </row>
    <row r="153" spans="1:8" x14ac:dyDescent="0.2">
      <c r="A153" s="43" t="s">
        <v>2017</v>
      </c>
    </row>
    <row r="155" spans="1:8" x14ac:dyDescent="0.2">
      <c r="A155" s="44" t="s">
        <v>2018</v>
      </c>
    </row>
    <row r="159" spans="1:8" x14ac:dyDescent="0.2">
      <c r="A159" s="45" t="s">
        <v>1925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1926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1927</v>
      </c>
    </row>
    <row r="162" spans="1:7" x14ac:dyDescent="0.2">
      <c r="B162" s="80" t="s">
        <v>1919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1920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1928</v>
      </c>
    </row>
    <row r="166" spans="1:7" x14ac:dyDescent="0.2">
      <c r="A166" s="43" t="s">
        <v>1929</v>
      </c>
    </row>
    <row r="167" spans="1:7" x14ac:dyDescent="0.2">
      <c r="A167" s="43" t="s">
        <v>1930</v>
      </c>
    </row>
    <row r="168" spans="1:7" x14ac:dyDescent="0.2">
      <c r="A168" s="43" t="s">
        <v>1931</v>
      </c>
    </row>
    <row r="169" spans="1:7" x14ac:dyDescent="0.2">
      <c r="A169" s="43" t="s">
        <v>1932</v>
      </c>
    </row>
    <row r="171" spans="1:7" x14ac:dyDescent="0.2">
      <c r="A171" s="43" t="s">
        <v>2019</v>
      </c>
    </row>
    <row r="172" spans="1:7" x14ac:dyDescent="0.2">
      <c r="A172" s="43" t="s">
        <v>2020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1927</v>
      </c>
    </row>
    <row r="175" spans="1:7" x14ac:dyDescent="0.2">
      <c r="B175" s="80" t="s">
        <v>1919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1920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2021</v>
      </c>
    </row>
    <row r="179" spans="1:8" x14ac:dyDescent="0.2">
      <c r="B179" s="80"/>
      <c r="C179" s="80" t="s">
        <v>1919</v>
      </c>
      <c r="D179" s="80" t="s">
        <v>1920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2022</v>
      </c>
      <c r="D185" s="47" t="s">
        <v>2023</v>
      </c>
      <c r="E185" s="291"/>
      <c r="F185" s="291"/>
      <c r="G185" s="291"/>
    </row>
    <row r="186" spans="1:8" ht="16" thickBot="1" x14ac:dyDescent="0.25">
      <c r="A186" s="43" t="s">
        <v>2024</v>
      </c>
      <c r="C186" s="542">
        <f>NPV(5%,C181:C183)+C180</f>
        <v>126.78976352445738</v>
      </c>
      <c r="D186" s="297">
        <f>NPV(5%,D181:D183)+D180</f>
        <v>117.85984234963826</v>
      </c>
      <c r="E186" s="291" t="s">
        <v>2025</v>
      </c>
      <c r="F186" s="291"/>
      <c r="G186" s="291"/>
    </row>
    <row r="187" spans="1:8" ht="16" thickBot="1" x14ac:dyDescent="0.25">
      <c r="A187" s="43" t="s">
        <v>2026</v>
      </c>
      <c r="C187" s="543">
        <f>NPV(9.7%,C181:C183)+C180</f>
        <v>100.00543737920071</v>
      </c>
      <c r="D187" s="543">
        <f>NPV(9.7%,D181:D183)+D180</f>
        <v>100.00362491946717</v>
      </c>
      <c r="E187" s="291" t="s">
        <v>2027</v>
      </c>
      <c r="F187" s="291"/>
      <c r="G187" s="291"/>
    </row>
    <row r="188" spans="1:8" ht="16" thickBot="1" x14ac:dyDescent="0.25">
      <c r="A188" s="43" t="s">
        <v>2028</v>
      </c>
      <c r="C188" s="297">
        <f>NPV(15%,C181:C183)+C180</f>
        <v>73.987014054409485</v>
      </c>
      <c r="D188" s="544">
        <f>NPV(15%,D181:D183)+D180</f>
        <v>82.658009369606361</v>
      </c>
      <c r="E188" s="291" t="s">
        <v>2409</v>
      </c>
      <c r="F188" s="291"/>
    </row>
    <row r="189" spans="1:8" ht="16" thickBot="1" x14ac:dyDescent="0.25">
      <c r="A189" s="43" t="s">
        <v>2029</v>
      </c>
      <c r="C189" s="297">
        <f>NPV(60.74%,C181:C183)+C180</f>
        <v>-50.006770079154393</v>
      </c>
      <c r="D189" s="544">
        <f>NPV(60.74%,D181:D183)+D180</f>
        <v>-4.5133861029285072E-3</v>
      </c>
      <c r="E189" s="291" t="s">
        <v>2030</v>
      </c>
    </row>
    <row r="191" spans="1:8" x14ac:dyDescent="0.2">
      <c r="A191" s="45" t="s">
        <v>2458</v>
      </c>
      <c r="B191" s="46"/>
      <c r="C191" s="46"/>
      <c r="D191" s="46"/>
      <c r="E191" s="46"/>
      <c r="F191" s="250"/>
      <c r="G191" s="250" t="s">
        <v>2410</v>
      </c>
      <c r="H191" s="46"/>
    </row>
    <row r="192" spans="1:8" x14ac:dyDescent="0.2">
      <c r="A192" s="43" t="s">
        <v>2411</v>
      </c>
    </row>
    <row r="194" spans="1:8" x14ac:dyDescent="0.2">
      <c r="B194" s="80"/>
      <c r="C194" s="80" t="s">
        <v>1919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2412</v>
      </c>
    </row>
    <row r="202" spans="1:8" x14ac:dyDescent="0.2">
      <c r="A202" s="43" t="s">
        <v>2413</v>
      </c>
    </row>
    <row r="203" spans="1:8" x14ac:dyDescent="0.2">
      <c r="A203" s="43" t="s">
        <v>2414</v>
      </c>
    </row>
    <row r="205" spans="1:8" x14ac:dyDescent="0.2">
      <c r="H205" s="43" t="s">
        <v>2031</v>
      </c>
    </row>
    <row r="206" spans="1:8" x14ac:dyDescent="0.2">
      <c r="E206" s="43" t="s">
        <v>2032</v>
      </c>
      <c r="H206" s="43" t="s">
        <v>2460</v>
      </c>
    </row>
    <row r="207" spans="1:8" x14ac:dyDescent="0.2">
      <c r="H207" s="79" t="s">
        <v>2033</v>
      </c>
    </row>
    <row r="209" spans="1:9" x14ac:dyDescent="0.2">
      <c r="H209" s="43" t="s">
        <v>2034</v>
      </c>
    </row>
    <row r="210" spans="1:9" x14ac:dyDescent="0.2">
      <c r="H210" s="43" t="s">
        <v>1993</v>
      </c>
    </row>
    <row r="212" spans="1:9" x14ac:dyDescent="0.2">
      <c r="H212" s="43" t="s">
        <v>2459</v>
      </c>
    </row>
    <row r="213" spans="1:9" x14ac:dyDescent="0.2">
      <c r="H213" s="43" t="s">
        <v>2035</v>
      </c>
    </row>
    <row r="214" spans="1:9" x14ac:dyDescent="0.2">
      <c r="A214" s="43" t="s">
        <v>2036</v>
      </c>
      <c r="H214" s="43" t="s">
        <v>2037</v>
      </c>
    </row>
    <row r="215" spans="1:9" x14ac:dyDescent="0.2">
      <c r="H215" s="43" t="s">
        <v>2038</v>
      </c>
    </row>
    <row r="217" spans="1:9" x14ac:dyDescent="0.2">
      <c r="B217" s="47" t="s">
        <v>2022</v>
      </c>
      <c r="H217" s="43" t="s">
        <v>2039</v>
      </c>
    </row>
    <row r="218" spans="1:9" x14ac:dyDescent="0.2">
      <c r="I218" s="550" t="s">
        <v>2040</v>
      </c>
    </row>
    <row r="224" spans="1:9" x14ac:dyDescent="0.2">
      <c r="A224" s="45" t="s">
        <v>2041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1047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2415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2416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2417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2042</v>
      </c>
    </row>
    <row r="231" spans="1:8" x14ac:dyDescent="0.2">
      <c r="A231" s="43" t="s">
        <v>2043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1933</v>
      </c>
      <c r="H232" s="80" t="s">
        <v>1934</v>
      </c>
    </row>
    <row r="233" spans="1:8" x14ac:dyDescent="0.2">
      <c r="A233" s="80" t="s">
        <v>1919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1920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1921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1935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1936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1937</v>
      </c>
    </row>
    <row r="241" spans="1:10" x14ac:dyDescent="0.2">
      <c r="A241" s="44" t="s">
        <v>111</v>
      </c>
      <c r="B241" s="43" t="s">
        <v>2468</v>
      </c>
    </row>
    <row r="242" spans="1:10" x14ac:dyDescent="0.2">
      <c r="A242" s="44"/>
      <c r="B242" s="43" t="s">
        <v>2469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1933</v>
      </c>
      <c r="H243" s="555" t="s">
        <v>2470</v>
      </c>
      <c r="I243" s="557" t="s">
        <v>2418</v>
      </c>
    </row>
    <row r="244" spans="1:10" x14ac:dyDescent="0.2">
      <c r="A244" s="80" t="s">
        <v>1919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6">
        <f>G244/ABS(B244)</f>
        <v>0.66040570999248649</v>
      </c>
      <c r="I244" s="557">
        <f>RANK(H244,$H$244:$H$248,0)</f>
        <v>2</v>
      </c>
    </row>
    <row r="245" spans="1:10" x14ac:dyDescent="0.2">
      <c r="A245" s="80" t="s">
        <v>1920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6">
        <f t="shared" ref="H245:H248" si="4">G245/ABS(B245)</f>
        <v>0.46164879448125079</v>
      </c>
      <c r="I245" s="557">
        <f t="shared" ref="I245:I248" si="5">RANK(H245,$H$244:$H$248,0)</f>
        <v>3</v>
      </c>
    </row>
    <row r="246" spans="1:10" x14ac:dyDescent="0.2">
      <c r="A246" s="80" t="s">
        <v>1921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6">
        <f t="shared" si="4"/>
        <v>0.40996744302529409</v>
      </c>
      <c r="I246" s="557">
        <f t="shared" si="5"/>
        <v>4</v>
      </c>
    </row>
    <row r="247" spans="1:10" x14ac:dyDescent="0.2">
      <c r="A247" s="80" t="s">
        <v>1935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6">
        <f t="shared" si="4"/>
        <v>0.80315552216378616</v>
      </c>
      <c r="I247" s="557">
        <f t="shared" si="5"/>
        <v>1</v>
      </c>
    </row>
    <row r="248" spans="1:10" x14ac:dyDescent="0.2">
      <c r="A248" s="80" t="s">
        <v>1936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6">
        <f t="shared" si="4"/>
        <v>0.28406529608633263</v>
      </c>
      <c r="I248" s="557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2044</v>
      </c>
    </row>
    <row r="251" spans="1:10" x14ac:dyDescent="0.2">
      <c r="A251" s="43" t="s">
        <v>2045</v>
      </c>
    </row>
    <row r="252" spans="1:10" x14ac:dyDescent="0.2">
      <c r="A252" s="43" t="s">
        <v>2046</v>
      </c>
    </row>
    <row r="254" spans="1:10" x14ac:dyDescent="0.2">
      <c r="A254" s="44" t="s">
        <v>2419</v>
      </c>
    </row>
    <row r="255" spans="1:10" x14ac:dyDescent="0.2">
      <c r="A255" s="44"/>
    </row>
    <row r="256" spans="1:10" x14ac:dyDescent="0.2">
      <c r="A256" s="43" t="s">
        <v>2420</v>
      </c>
    </row>
    <row r="257" spans="1:8" x14ac:dyDescent="0.2">
      <c r="A257" s="43" t="s">
        <v>2047</v>
      </c>
    </row>
    <row r="258" spans="1:8" x14ac:dyDescent="0.2">
      <c r="A258" s="43" t="s">
        <v>2471</v>
      </c>
    </row>
    <row r="260" spans="1:8" x14ac:dyDescent="0.2">
      <c r="A260" s="80"/>
      <c r="B260" s="80" t="s">
        <v>1934</v>
      </c>
      <c r="C260" s="233" t="s">
        <v>2048</v>
      </c>
      <c r="D260" s="233" t="s">
        <v>2049</v>
      </c>
      <c r="E260" s="233" t="s">
        <v>2050</v>
      </c>
    </row>
    <row r="261" spans="1:8" x14ac:dyDescent="0.2">
      <c r="A261" s="287" t="s">
        <v>1935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1919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1920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1921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2051</v>
      </c>
    </row>
    <row r="265" spans="1:8" s="291" customFormat="1" x14ac:dyDescent="0.2">
      <c r="C265" s="29" t="s">
        <v>2052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2053</v>
      </c>
    </row>
    <row r="269" spans="1:8" x14ac:dyDescent="0.2">
      <c r="A269" s="43" t="s">
        <v>2054</v>
      </c>
    </row>
    <row r="270" spans="1:8" x14ac:dyDescent="0.2">
      <c r="A270" s="43" t="s">
        <v>2055</v>
      </c>
    </row>
    <row r="271" spans="1:8" x14ac:dyDescent="0.2">
      <c r="A271" s="43" t="s">
        <v>2056</v>
      </c>
    </row>
    <row r="273" spans="1:8" x14ac:dyDescent="0.2">
      <c r="A273" s="44" t="s">
        <v>2472</v>
      </c>
    </row>
    <row r="277" spans="1:8" x14ac:dyDescent="0.2">
      <c r="A277" s="44" t="s">
        <v>2057</v>
      </c>
    </row>
    <row r="281" spans="1:8" x14ac:dyDescent="0.2">
      <c r="A281" s="45" t="s">
        <v>1938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1939</v>
      </c>
    </row>
    <row r="283" spans="1:8" x14ac:dyDescent="0.2">
      <c r="A283" s="43" t="s">
        <v>1940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1919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1920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2421</v>
      </c>
      <c r="C290" s="546">
        <f>NPV(10%,D285:H285)+C285</f>
        <v>2.629601803155083</v>
      </c>
    </row>
    <row r="291" spans="1:8" x14ac:dyDescent="0.2">
      <c r="A291" s="43" t="s">
        <v>2422</v>
      </c>
      <c r="C291" s="546">
        <f>NPV(10%,D286:H286)+C286</f>
        <v>274.47206164506861</v>
      </c>
    </row>
    <row r="293" spans="1:8" x14ac:dyDescent="0.2">
      <c r="A293" s="43" t="s">
        <v>2423</v>
      </c>
    </row>
    <row r="296" spans="1:8" x14ac:dyDescent="0.2">
      <c r="A296" s="45" t="s">
        <v>1941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1942</v>
      </c>
    </row>
    <row r="298" spans="1:8" x14ac:dyDescent="0.2">
      <c r="A298" s="43" t="s">
        <v>1943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1919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1920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2421</v>
      </c>
      <c r="C307" s="546">
        <f>NPV(10%,D302:H302)+C302</f>
        <v>14.443375079943607</v>
      </c>
      <c r="D307" s="43" t="s">
        <v>2424</v>
      </c>
      <c r="E307" s="161">
        <f>IRR(C302:H302)</f>
        <v>0.20761658990335685</v>
      </c>
    </row>
    <row r="308" spans="1:8" x14ac:dyDescent="0.2">
      <c r="A308" s="43" t="s">
        <v>2422</v>
      </c>
      <c r="C308" s="546">
        <f>NPV(10%,D303:H303)+C303</f>
        <v>13.489441232901363</v>
      </c>
      <c r="D308" s="43" t="s">
        <v>2425</v>
      </c>
      <c r="E308" s="161">
        <f>IRR(C303:H303)</f>
        <v>0.25413002038866117</v>
      </c>
    </row>
    <row r="310" spans="1:8" x14ac:dyDescent="0.2">
      <c r="A310" s="43" t="s">
        <v>2426</v>
      </c>
    </row>
    <row r="311" spans="1:8" x14ac:dyDescent="0.2">
      <c r="A311" s="43" t="s">
        <v>2427</v>
      </c>
    </row>
    <row r="315" spans="1:8" x14ac:dyDescent="0.2">
      <c r="A315" s="45" t="s">
        <v>2058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2059</v>
      </c>
    </row>
    <row r="317" spans="1:8" x14ac:dyDescent="0.2">
      <c r="A317" s="43" t="s">
        <v>1944</v>
      </c>
    </row>
    <row r="318" spans="1:8" x14ac:dyDescent="0.2">
      <c r="A318" s="43" t="s">
        <v>1945</v>
      </c>
    </row>
    <row r="319" spans="1:8" x14ac:dyDescent="0.2">
      <c r="B319" s="80"/>
      <c r="C319" s="80" t="s">
        <v>1946</v>
      </c>
      <c r="D319" s="80" t="s">
        <v>1933</v>
      </c>
      <c r="E319" s="80" t="s">
        <v>1934</v>
      </c>
    </row>
    <row r="320" spans="1:8" x14ac:dyDescent="0.2">
      <c r="B320" s="80" t="s">
        <v>1919</v>
      </c>
      <c r="C320" s="186">
        <v>-50000</v>
      </c>
      <c r="D320" s="186">
        <v>35000</v>
      </c>
      <c r="E320" s="80"/>
    </row>
    <row r="321" spans="1:6" x14ac:dyDescent="0.2">
      <c r="B321" s="80" t="s">
        <v>1920</v>
      </c>
      <c r="C321" s="186">
        <v>-150000</v>
      </c>
      <c r="D321" s="186">
        <v>114000</v>
      </c>
      <c r="E321" s="80"/>
    </row>
    <row r="322" spans="1:6" x14ac:dyDescent="0.2">
      <c r="B322" s="80" t="s">
        <v>1921</v>
      </c>
      <c r="C322" s="186">
        <v>-100000</v>
      </c>
      <c r="D322" s="186">
        <v>56000</v>
      </c>
      <c r="E322" s="80"/>
    </row>
    <row r="323" spans="1:6" x14ac:dyDescent="0.2">
      <c r="B323" s="80" t="s">
        <v>1935</v>
      </c>
      <c r="C323" s="186">
        <v>-50000</v>
      </c>
      <c r="D323" s="186">
        <v>155000</v>
      </c>
      <c r="E323" s="80"/>
    </row>
    <row r="324" spans="1:6" x14ac:dyDescent="0.2">
      <c r="B324" s="80" t="s">
        <v>1936</v>
      </c>
      <c r="C324" s="186">
        <v>-30000</v>
      </c>
      <c r="D324" s="186">
        <v>88000</v>
      </c>
      <c r="E324" s="80"/>
    </row>
    <row r="326" spans="1:6" x14ac:dyDescent="0.2">
      <c r="A326" s="43" t="s">
        <v>2433</v>
      </c>
    </row>
    <row r="327" spans="1:6" x14ac:dyDescent="0.2">
      <c r="A327" s="43" t="s">
        <v>2428</v>
      </c>
    </row>
    <row r="328" spans="1:6" x14ac:dyDescent="0.2">
      <c r="A328" s="43" t="s">
        <v>2429</v>
      </c>
    </row>
    <row r="330" spans="1:6" x14ac:dyDescent="0.2">
      <c r="B330" s="80"/>
      <c r="C330" s="80" t="s">
        <v>1946</v>
      </c>
      <c r="D330" s="80" t="s">
        <v>1933</v>
      </c>
      <c r="E330" s="80" t="s">
        <v>1934</v>
      </c>
      <c r="F330" s="80" t="s">
        <v>2430</v>
      </c>
    </row>
    <row r="331" spans="1:6" x14ac:dyDescent="0.2">
      <c r="B331" s="80" t="s">
        <v>1919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1920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1921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1935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1936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2431</v>
      </c>
    </row>
    <row r="338" spans="1:8" x14ac:dyDescent="0.2">
      <c r="A338" s="43" t="s">
        <v>2432</v>
      </c>
    </row>
    <row r="340" spans="1:8" x14ac:dyDescent="0.2">
      <c r="A340" s="80"/>
      <c r="B340" s="80" t="s">
        <v>1934</v>
      </c>
      <c r="C340" s="233" t="s">
        <v>2048</v>
      </c>
      <c r="D340" s="233" t="s">
        <v>2049</v>
      </c>
      <c r="E340" s="233" t="s">
        <v>2050</v>
      </c>
    </row>
    <row r="341" spans="1:8" x14ac:dyDescent="0.2">
      <c r="A341" s="80" t="s">
        <v>1935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1919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1921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2060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2052</v>
      </c>
      <c r="D347" s="29"/>
      <c r="E347" s="299">
        <f>SUM(E341:E345)</f>
        <v>414400</v>
      </c>
    </row>
    <row r="349" spans="1:8" x14ac:dyDescent="0.2">
      <c r="A349" s="45" t="s">
        <v>2434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1947</v>
      </c>
    </row>
    <row r="352" spans="1:8" x14ac:dyDescent="0.2">
      <c r="F352" s="47" t="s">
        <v>2461</v>
      </c>
      <c r="G352" s="47" t="s">
        <v>2461</v>
      </c>
      <c r="H352" s="47" t="s">
        <v>2465</v>
      </c>
    </row>
    <row r="353" spans="1:8" x14ac:dyDescent="0.2">
      <c r="F353" s="47" t="s">
        <v>2462</v>
      </c>
      <c r="G353" s="47" t="s">
        <v>2464</v>
      </c>
      <c r="H353" s="47" t="s">
        <v>2048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1" t="s">
        <v>2463</v>
      </c>
      <c r="G354" s="49" t="s">
        <v>1927</v>
      </c>
      <c r="H354" s="49" t="s">
        <v>2466</v>
      </c>
    </row>
    <row r="355" spans="1:8" x14ac:dyDescent="0.2">
      <c r="B355" s="80" t="s">
        <v>1919</v>
      </c>
      <c r="C355" s="80">
        <v>-200</v>
      </c>
      <c r="D355" s="80">
        <v>100</v>
      </c>
      <c r="E355" s="80">
        <v>200</v>
      </c>
      <c r="F355" s="552">
        <f>SUM(C355:E355)</f>
        <v>100</v>
      </c>
      <c r="G355" s="553">
        <f>IRR(C355:E355)</f>
        <v>0.28077640640441492</v>
      </c>
      <c r="H355" s="552">
        <f>C355</f>
        <v>-200</v>
      </c>
    </row>
    <row r="356" spans="1:8" x14ac:dyDescent="0.2">
      <c r="B356" s="80" t="s">
        <v>1920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4">
        <f>IRR(C356:E356)</f>
        <v>0.56619037896242497</v>
      </c>
      <c r="H356" s="121">
        <f>C356</f>
        <v>-100</v>
      </c>
    </row>
    <row r="358" spans="1:8" x14ac:dyDescent="0.2">
      <c r="A358" s="43" t="s">
        <v>1948</v>
      </c>
    </row>
    <row r="371" spans="1:8" x14ac:dyDescent="0.2">
      <c r="A371" s="79" t="s">
        <v>2061</v>
      </c>
    </row>
    <row r="373" spans="1:8" x14ac:dyDescent="0.2">
      <c r="A373" s="302" t="s">
        <v>2062</v>
      </c>
    </row>
    <row r="377" spans="1:8" x14ac:dyDescent="0.2">
      <c r="A377" s="43" t="s">
        <v>2063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2064</v>
      </c>
      <c r="G378" s="81" t="s">
        <v>1927</v>
      </c>
      <c r="H378" s="81" t="s">
        <v>2065</v>
      </c>
    </row>
    <row r="379" spans="1:8" x14ac:dyDescent="0.2">
      <c r="B379" s="301" t="s">
        <v>1919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1920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2064</v>
      </c>
      <c r="B383" s="43" t="s">
        <v>2066</v>
      </c>
    </row>
    <row r="384" spans="1:8" x14ac:dyDescent="0.2">
      <c r="A384" s="43" t="s">
        <v>1927</v>
      </c>
      <c r="B384" s="43" t="s">
        <v>2067</v>
      </c>
    </row>
    <row r="385" spans="1:9" x14ac:dyDescent="0.2">
      <c r="A385" s="43" t="s">
        <v>2065</v>
      </c>
      <c r="B385" s="43" t="s">
        <v>2068</v>
      </c>
    </row>
    <row r="387" spans="1:9" x14ac:dyDescent="0.2">
      <c r="A387" s="44" t="s">
        <v>2467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2069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2435</v>
      </c>
      <c r="B390" s="45"/>
      <c r="C390" s="45"/>
      <c r="D390" s="45"/>
      <c r="E390" s="45"/>
      <c r="F390" s="45"/>
      <c r="G390" s="45"/>
      <c r="H390" s="45" t="s">
        <v>2436</v>
      </c>
    </row>
    <row r="392" spans="1:9" x14ac:dyDescent="0.2">
      <c r="A392" s="43" t="s">
        <v>2437</v>
      </c>
    </row>
    <row r="393" spans="1:9" x14ac:dyDescent="0.2">
      <c r="D393" s="59" t="s">
        <v>2440</v>
      </c>
      <c r="E393" s="59" t="s">
        <v>2441</v>
      </c>
      <c r="F393" s="59" t="s">
        <v>2442</v>
      </c>
      <c r="G393" s="59" t="s">
        <v>2443</v>
      </c>
      <c r="H393" s="59" t="s">
        <v>2444</v>
      </c>
    </row>
    <row r="394" spans="1:9" x14ac:dyDescent="0.2">
      <c r="B394" s="43" t="s">
        <v>2438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2439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2445</v>
      </c>
    </row>
    <row r="399" spans="1:9" x14ac:dyDescent="0.2">
      <c r="A399" s="43" t="s">
        <v>2446</v>
      </c>
    </row>
    <row r="400" spans="1:9" x14ac:dyDescent="0.2">
      <c r="I400" s="43" t="s">
        <v>1933</v>
      </c>
    </row>
    <row r="401" spans="1:7" x14ac:dyDescent="0.2">
      <c r="A401" s="43" t="s">
        <v>111</v>
      </c>
    </row>
    <row r="403" spans="1:7" x14ac:dyDescent="0.2">
      <c r="A403" s="43" t="s">
        <v>2450</v>
      </c>
    </row>
    <row r="405" spans="1:7" x14ac:dyDescent="0.2">
      <c r="D405" s="549" t="s">
        <v>611</v>
      </c>
      <c r="E405" s="59" t="s">
        <v>610</v>
      </c>
      <c r="F405" s="59" t="s">
        <v>2451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7" t="s">
        <v>87</v>
      </c>
    </row>
    <row r="412" spans="1:7" x14ac:dyDescent="0.2">
      <c r="C412" s="43" t="s">
        <v>2449</v>
      </c>
      <c r="D412" s="43">
        <f>D406</f>
        <v>-1000</v>
      </c>
      <c r="E412" s="43">
        <f>E406</f>
        <v>-4000</v>
      </c>
      <c r="F412" s="43">
        <f>F406</f>
        <v>-3000</v>
      </c>
      <c r="G412" s="548" t="s">
        <v>2022</v>
      </c>
    </row>
    <row r="413" spans="1:7" x14ac:dyDescent="0.2">
      <c r="C413" s="43" t="s">
        <v>2447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2448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7" t="s">
        <v>2023</v>
      </c>
    </row>
    <row r="416" spans="1:7" x14ac:dyDescent="0.2">
      <c r="A416" s="43" t="s">
        <v>2452</v>
      </c>
    </row>
    <row r="417" spans="1:1" x14ac:dyDescent="0.2">
      <c r="A417" s="43" t="s">
        <v>2453</v>
      </c>
    </row>
    <row r="418" spans="1:1" x14ac:dyDescent="0.2">
      <c r="A418" s="43" t="s">
        <v>2454</v>
      </c>
    </row>
    <row r="419" spans="1:1" x14ac:dyDescent="0.2">
      <c r="A419" s="43" t="s">
        <v>2455</v>
      </c>
    </row>
    <row r="420" spans="1:1" x14ac:dyDescent="0.2">
      <c r="A420" s="43" t="s">
        <v>2456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2457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1047</v>
      </c>
    </row>
    <row r="4" spans="1:8" s="92" customFormat="1" ht="16" x14ac:dyDescent="0.2">
      <c r="A4" s="92" t="s">
        <v>2070</v>
      </c>
    </row>
    <row r="5" spans="1:8" s="92" customFormat="1" ht="16" x14ac:dyDescent="0.2">
      <c r="A5" s="92" t="s">
        <v>2071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1960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2072</v>
      </c>
    </row>
    <row r="11" spans="1:8" s="92" customFormat="1" ht="16" x14ac:dyDescent="0.2">
      <c r="A11" s="92" t="s">
        <v>2073</v>
      </c>
    </row>
    <row r="12" spans="1:8" s="92" customFormat="1" ht="16" x14ac:dyDescent="0.2"/>
    <row r="13" spans="1:8" s="92" customFormat="1" ht="16" x14ac:dyDescent="0.2">
      <c r="A13" s="92" t="s">
        <v>2074</v>
      </c>
    </row>
    <row r="14" spans="1:8" s="92" customFormat="1" ht="17" thickBot="1" x14ac:dyDescent="0.25">
      <c r="A14" s="92" t="s">
        <v>2075</v>
      </c>
    </row>
    <row r="15" spans="1:8" s="92" customFormat="1" ht="16" x14ac:dyDescent="0.2">
      <c r="A15" s="92" t="s">
        <v>2076</v>
      </c>
      <c r="C15" s="716" t="s">
        <v>2077</v>
      </c>
      <c r="D15" s="707"/>
      <c r="E15" s="707"/>
      <c r="F15" s="707"/>
      <c r="G15" s="707"/>
      <c r="H15" s="717"/>
    </row>
    <row r="16" spans="1:8" s="92" customFormat="1" ht="17" thickBot="1" x14ac:dyDescent="0.25">
      <c r="A16" s="92" t="s">
        <v>2078</v>
      </c>
      <c r="C16" s="718"/>
      <c r="D16" s="719"/>
      <c r="E16" s="719"/>
      <c r="F16" s="719"/>
      <c r="G16" s="719"/>
      <c r="H16" s="720"/>
    </row>
    <row r="17" spans="1:8" s="92" customFormat="1" ht="16" x14ac:dyDescent="0.2">
      <c r="A17" s="92" t="s">
        <v>2079</v>
      </c>
    </row>
    <row r="18" spans="1:8" s="92" customFormat="1" ht="17" thickBot="1" x14ac:dyDescent="0.25"/>
    <row r="19" spans="1:8" s="92" customFormat="1" ht="16" x14ac:dyDescent="0.2">
      <c r="A19" s="95" t="s">
        <v>2080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2081</v>
      </c>
      <c r="H20" s="99"/>
    </row>
    <row r="21" spans="1:8" s="92" customFormat="1" ht="16" x14ac:dyDescent="0.2">
      <c r="A21" s="98" t="s">
        <v>2082</v>
      </c>
      <c r="H21" s="99"/>
    </row>
    <row r="22" spans="1:8" s="92" customFormat="1" ht="17" thickBot="1" x14ac:dyDescent="0.25">
      <c r="A22" s="100" t="s">
        <v>2083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2084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2085</v>
      </c>
    </row>
    <row r="27" spans="1:8" s="92" customFormat="1" ht="16" x14ac:dyDescent="0.2">
      <c r="A27" s="92" t="s">
        <v>2086</v>
      </c>
    </row>
    <row r="28" spans="1:8" s="92" customFormat="1" ht="16" x14ac:dyDescent="0.2">
      <c r="A28" s="92" t="s">
        <v>2087</v>
      </c>
    </row>
    <row r="29" spans="1:8" s="92" customFormat="1" ht="16" x14ac:dyDescent="0.2">
      <c r="A29" s="92" t="s">
        <v>2088</v>
      </c>
    </row>
    <row r="30" spans="1:8" s="92" customFormat="1" ht="16" x14ac:dyDescent="0.2">
      <c r="A30" s="92" t="s">
        <v>2089</v>
      </c>
    </row>
    <row r="31" spans="1:8" s="92" customFormat="1" ht="16" x14ac:dyDescent="0.2">
      <c r="A31" s="92" t="s">
        <v>2090</v>
      </c>
    </row>
    <row r="32" spans="1:8" s="92" customFormat="1" ht="16" x14ac:dyDescent="0.2">
      <c r="A32" s="92" t="s">
        <v>2091</v>
      </c>
    </row>
    <row r="33" spans="1:7" s="92" customFormat="1" ht="16" x14ac:dyDescent="0.2">
      <c r="A33" s="92" t="s">
        <v>2092</v>
      </c>
    </row>
    <row r="34" spans="1:7" s="92" customFormat="1" ht="16" x14ac:dyDescent="0.2">
      <c r="A34" s="92" t="s">
        <v>2093</v>
      </c>
    </row>
    <row r="35" spans="1:7" s="92" customFormat="1" ht="16" x14ac:dyDescent="0.2">
      <c r="A35" s="92" t="s">
        <v>2094</v>
      </c>
    </row>
    <row r="36" spans="1:7" s="92" customFormat="1" ht="16" x14ac:dyDescent="0.2">
      <c r="A36" s="92" t="s">
        <v>2095</v>
      </c>
    </row>
    <row r="37" spans="1:7" s="92" customFormat="1" ht="16" x14ac:dyDescent="0.2">
      <c r="A37" s="92" t="s">
        <v>2096</v>
      </c>
    </row>
    <row r="38" spans="1:7" s="92" customFormat="1" ht="16" x14ac:dyDescent="0.2">
      <c r="A38" s="92" t="s">
        <v>2097</v>
      </c>
    </row>
    <row r="39" spans="1:7" s="92" customFormat="1" ht="16" x14ac:dyDescent="0.2">
      <c r="A39" s="92" t="s">
        <v>2098</v>
      </c>
    </row>
    <row r="40" spans="1:7" s="92" customFormat="1" ht="16" x14ac:dyDescent="0.2">
      <c r="A40" s="92" t="s">
        <v>2099</v>
      </c>
    </row>
    <row r="41" spans="1:7" s="92" customFormat="1" ht="16" x14ac:dyDescent="0.2"/>
    <row r="42" spans="1:7" s="92" customFormat="1" ht="16" x14ac:dyDescent="0.2">
      <c r="A42" s="93" t="s">
        <v>2100</v>
      </c>
      <c r="B42" s="93"/>
      <c r="C42" s="93"/>
      <c r="D42" s="93"/>
      <c r="E42" s="93"/>
    </row>
    <row r="43" spans="1:7" s="92" customFormat="1" ht="16" x14ac:dyDescent="0.2">
      <c r="A43" s="93" t="s">
        <v>2101</v>
      </c>
    </row>
    <row r="44" spans="1:7" s="92" customFormat="1" ht="16" x14ac:dyDescent="0.2">
      <c r="A44" s="93" t="s">
        <v>2102</v>
      </c>
    </row>
    <row r="45" spans="1:7" s="92" customFormat="1" ht="16" x14ac:dyDescent="0.2"/>
    <row r="46" spans="1:7" s="92" customFormat="1" ht="16" x14ac:dyDescent="0.2">
      <c r="A46" s="253" t="s">
        <v>2103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2104</v>
      </c>
    </row>
    <row r="49" spans="1:7" s="92" customFormat="1" ht="16" x14ac:dyDescent="0.2"/>
    <row r="50" spans="1:7" s="92" customFormat="1" ht="16" x14ac:dyDescent="0.2">
      <c r="A50" s="92" t="s">
        <v>2105</v>
      </c>
      <c r="C50" s="254">
        <v>240000</v>
      </c>
      <c r="D50" s="92" t="s">
        <v>2106</v>
      </c>
    </row>
    <row r="51" spans="1:7" s="92" customFormat="1" ht="16" x14ac:dyDescent="0.2">
      <c r="A51" s="92" t="s">
        <v>2107</v>
      </c>
      <c r="C51" s="304">
        <f>-10000-22000</f>
        <v>-32000</v>
      </c>
      <c r="F51" s="92" t="s">
        <v>2108</v>
      </c>
      <c r="G51" s="92" t="s">
        <v>2109</v>
      </c>
    </row>
    <row r="52" spans="1:7" s="92" customFormat="1" ht="16" x14ac:dyDescent="0.2">
      <c r="A52" s="92" t="s">
        <v>2110</v>
      </c>
      <c r="C52" s="305">
        <v>-200000</v>
      </c>
      <c r="F52" s="92" t="s">
        <v>2111</v>
      </c>
      <c r="G52" s="92" t="s">
        <v>2112</v>
      </c>
    </row>
    <row r="53" spans="1:7" s="92" customFormat="1" ht="16" x14ac:dyDescent="0.2">
      <c r="A53" s="93" t="s">
        <v>2113</v>
      </c>
      <c r="B53" s="93"/>
      <c r="C53" s="306">
        <f>C50+C51+C52</f>
        <v>8000</v>
      </c>
      <c r="F53" s="92" t="s">
        <v>2114</v>
      </c>
    </row>
    <row r="54" spans="1:7" s="92" customFormat="1" ht="17" thickBot="1" x14ac:dyDescent="0.25">
      <c r="A54" s="92" t="s">
        <v>2115</v>
      </c>
      <c r="C54" s="132">
        <v>0.3</v>
      </c>
      <c r="E54" s="92" t="s">
        <v>2116</v>
      </c>
    </row>
    <row r="55" spans="1:7" s="92" customFormat="1" ht="17" thickBot="1" x14ac:dyDescent="0.25">
      <c r="A55" s="92" t="s">
        <v>2117</v>
      </c>
      <c r="C55" s="256">
        <f>C53*C54</f>
        <v>2400</v>
      </c>
      <c r="F55" s="92" t="s">
        <v>2118</v>
      </c>
    </row>
    <row r="56" spans="1:7" s="92" customFormat="1" ht="16" x14ac:dyDescent="0.2"/>
    <row r="57" spans="1:7" s="92" customFormat="1" ht="16" x14ac:dyDescent="0.2">
      <c r="A57" s="93" t="s">
        <v>2119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2120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2121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2122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2123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2124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2125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2126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2127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2128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2129</v>
      </c>
      <c r="B70" s="312"/>
      <c r="C70" s="312"/>
      <c r="D70" s="312"/>
      <c r="E70" s="312"/>
      <c r="F70" s="312" t="s">
        <v>2130</v>
      </c>
      <c r="G70" s="312"/>
    </row>
    <row r="71" spans="1:7" s="92" customFormat="1" ht="16" x14ac:dyDescent="0.2"/>
    <row r="72" spans="1:7" s="92" customFormat="1" ht="16" x14ac:dyDescent="0.2">
      <c r="A72" s="93" t="s">
        <v>2131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2132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2133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2134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2135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2136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2137</v>
      </c>
      <c r="D89" s="92" t="s">
        <v>2138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2139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2132</v>
      </c>
      <c r="D99" s="110" t="s">
        <v>2140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2141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2142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2143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2144</v>
      </c>
    </row>
    <row r="109" spans="1:8" s="92" customFormat="1" ht="16" x14ac:dyDescent="0.2">
      <c r="A109" s="92" t="s">
        <v>2145</v>
      </c>
    </row>
    <row r="110" spans="1:8" s="92" customFormat="1" ht="16" x14ac:dyDescent="0.2">
      <c r="A110" s="92" t="s">
        <v>2146</v>
      </c>
    </row>
    <row r="111" spans="1:8" s="92" customFormat="1" ht="16" x14ac:dyDescent="0.2">
      <c r="A111" s="92" t="s">
        <v>2147</v>
      </c>
    </row>
    <row r="112" spans="1:8" s="92" customFormat="1" ht="16" x14ac:dyDescent="0.2">
      <c r="A112" s="92" t="s">
        <v>2148</v>
      </c>
    </row>
    <row r="113" spans="1:10" s="92" customFormat="1" ht="16" x14ac:dyDescent="0.2">
      <c r="A113" s="92" t="s">
        <v>2149</v>
      </c>
    </row>
    <row r="114" spans="1:10" s="92" customFormat="1" ht="16" x14ac:dyDescent="0.2">
      <c r="A114" s="92" t="s">
        <v>2150</v>
      </c>
    </row>
    <row r="115" spans="1:10" s="92" customFormat="1" ht="16" x14ac:dyDescent="0.2"/>
    <row r="116" spans="1:10" s="92" customFormat="1" ht="16" x14ac:dyDescent="0.2">
      <c r="A116" s="92" t="s">
        <v>2151</v>
      </c>
    </row>
    <row r="117" spans="1:10" s="92" customFormat="1" ht="16" x14ac:dyDescent="0.2">
      <c r="A117" s="92" t="s">
        <v>2152</v>
      </c>
    </row>
    <row r="118" spans="1:10" s="92" customFormat="1" ht="16" x14ac:dyDescent="0.2"/>
    <row r="119" spans="1:10" s="92" customFormat="1" ht="16" x14ac:dyDescent="0.2">
      <c r="A119" s="93" t="s">
        <v>2153</v>
      </c>
    </row>
    <row r="120" spans="1:10" s="92" customFormat="1" ht="16" x14ac:dyDescent="0.2"/>
    <row r="121" spans="1:10" s="92" customFormat="1" ht="16" x14ac:dyDescent="0.2">
      <c r="F121" s="262" t="s">
        <v>2154</v>
      </c>
      <c r="G121" s="262" t="s">
        <v>2155</v>
      </c>
    </row>
    <row r="122" spans="1:10" s="92" customFormat="1" ht="16" x14ac:dyDescent="0.2">
      <c r="A122" s="93" t="s">
        <v>2156</v>
      </c>
      <c r="C122" s="92" t="s">
        <v>2157</v>
      </c>
      <c r="F122" s="105" t="s">
        <v>2158</v>
      </c>
      <c r="G122" s="263">
        <v>320000</v>
      </c>
    </row>
    <row r="123" spans="1:10" s="92" customFormat="1" ht="16" x14ac:dyDescent="0.2">
      <c r="A123" s="93" t="s">
        <v>2159</v>
      </c>
      <c r="C123" s="92" t="s">
        <v>2160</v>
      </c>
      <c r="F123" s="105" t="s">
        <v>2161</v>
      </c>
      <c r="G123" s="264">
        <f>-(75000+60000)</f>
        <v>-135000</v>
      </c>
      <c r="J123" s="92" t="s">
        <v>2162</v>
      </c>
    </row>
    <row r="124" spans="1:10" s="92" customFormat="1" ht="16" x14ac:dyDescent="0.2">
      <c r="A124" s="93" t="s">
        <v>2163</v>
      </c>
      <c r="C124" s="92" t="s">
        <v>2164</v>
      </c>
      <c r="F124" s="105" t="s">
        <v>2161</v>
      </c>
      <c r="G124" s="265">
        <f>-50000</f>
        <v>-50000</v>
      </c>
      <c r="J124" s="92" t="s">
        <v>2165</v>
      </c>
    </row>
    <row r="125" spans="1:10" s="92" customFormat="1" ht="16" x14ac:dyDescent="0.2">
      <c r="A125" s="93" t="s">
        <v>2166</v>
      </c>
      <c r="C125" s="92" t="s">
        <v>2167</v>
      </c>
      <c r="F125" s="105" t="s">
        <v>1233</v>
      </c>
      <c r="G125" s="265">
        <f>SUM(G122:G124)</f>
        <v>135000</v>
      </c>
    </row>
    <row r="126" spans="1:10" s="92" customFormat="1" ht="16" x14ac:dyDescent="0.2">
      <c r="A126" s="93" t="s">
        <v>2168</v>
      </c>
      <c r="C126" s="92" t="s">
        <v>2115</v>
      </c>
      <c r="F126" s="105" t="s">
        <v>2169</v>
      </c>
      <c r="G126" s="266">
        <v>0.3</v>
      </c>
    </row>
    <row r="127" spans="1:10" s="92" customFormat="1" ht="17" thickBot="1" x14ac:dyDescent="0.25">
      <c r="C127" s="92" t="s">
        <v>2170</v>
      </c>
      <c r="F127" s="267" t="s">
        <v>2161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2171</v>
      </c>
      <c r="C130" s="317" t="s">
        <v>2120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2172</v>
      </c>
      <c r="C131" s="317" t="s">
        <v>2105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2173</v>
      </c>
      <c r="C132" s="317" t="s">
        <v>2174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2175</v>
      </c>
      <c r="C133" s="318" t="s">
        <v>2170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2176</v>
      </c>
      <c r="C134" s="317" t="s">
        <v>2124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2125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2126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2177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2178</v>
      </c>
      <c r="C139" s="92" t="s">
        <v>2179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2180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2181</v>
      </c>
    </row>
    <row r="153" spans="1:9" s="92" customFormat="1" ht="16" x14ac:dyDescent="0.2"/>
    <row r="154" spans="1:9" s="92" customFormat="1" ht="16" x14ac:dyDescent="0.2">
      <c r="C154" s="93" t="s">
        <v>2182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2183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2184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2185</v>
      </c>
    </row>
    <row r="160" spans="1:9" s="92" customFormat="1" ht="16" x14ac:dyDescent="0.2">
      <c r="A160" s="92" t="s">
        <v>2186</v>
      </c>
    </row>
    <row r="161" spans="1:10" s="92" customFormat="1" ht="16" x14ac:dyDescent="0.2">
      <c r="A161" s="92" t="s">
        <v>2187</v>
      </c>
    </row>
    <row r="162" spans="1:10" s="92" customFormat="1" ht="16" x14ac:dyDescent="0.2">
      <c r="A162" s="92" t="s">
        <v>2188</v>
      </c>
    </row>
    <row r="163" spans="1:10" s="92" customFormat="1" ht="16" x14ac:dyDescent="0.2">
      <c r="A163" s="92" t="s">
        <v>2189</v>
      </c>
    </row>
    <row r="164" spans="1:10" s="92" customFormat="1" ht="16" x14ac:dyDescent="0.2">
      <c r="A164" s="92" t="s">
        <v>2190</v>
      </c>
    </row>
    <row r="165" spans="1:10" s="92" customFormat="1" ht="16" x14ac:dyDescent="0.2">
      <c r="A165" s="92" t="s">
        <v>2191</v>
      </c>
    </row>
    <row r="166" spans="1:10" s="92" customFormat="1" ht="16" x14ac:dyDescent="0.2">
      <c r="A166" s="92" t="s">
        <v>2192</v>
      </c>
    </row>
    <row r="167" spans="1:10" s="92" customFormat="1" ht="16" x14ac:dyDescent="0.2">
      <c r="A167" s="92" t="s">
        <v>2193</v>
      </c>
    </row>
    <row r="168" spans="1:10" s="92" customFormat="1" ht="16" x14ac:dyDescent="0.2"/>
    <row r="169" spans="1:10" s="92" customFormat="1" ht="16" x14ac:dyDescent="0.2">
      <c r="F169" s="262" t="s">
        <v>2154</v>
      </c>
      <c r="G169" s="262" t="s">
        <v>2155</v>
      </c>
    </row>
    <row r="170" spans="1:10" s="92" customFormat="1" ht="16" x14ac:dyDescent="0.2">
      <c r="A170" s="93" t="s">
        <v>2156</v>
      </c>
      <c r="C170" s="92" t="s">
        <v>2157</v>
      </c>
      <c r="F170" s="105" t="s">
        <v>2158</v>
      </c>
      <c r="G170" s="263">
        <v>200000</v>
      </c>
    </row>
    <row r="171" spans="1:10" s="92" customFormat="1" ht="16" x14ac:dyDescent="0.2">
      <c r="A171" s="93" t="s">
        <v>2159</v>
      </c>
      <c r="C171" s="92" t="s">
        <v>2160</v>
      </c>
      <c r="F171" s="105" t="s">
        <v>2161</v>
      </c>
      <c r="G171" s="264">
        <v>-70000</v>
      </c>
    </row>
    <row r="172" spans="1:10" s="92" customFormat="1" ht="16" x14ac:dyDescent="0.2">
      <c r="A172" s="93" t="s">
        <v>2163</v>
      </c>
      <c r="C172" s="92" t="s">
        <v>2164</v>
      </c>
      <c r="F172" s="105" t="s">
        <v>2161</v>
      </c>
      <c r="G172" s="265">
        <f>-500000/4</f>
        <v>-125000</v>
      </c>
      <c r="J172" s="92" t="s">
        <v>2194</v>
      </c>
    </row>
    <row r="173" spans="1:10" s="92" customFormat="1" ht="17" thickBot="1" x14ac:dyDescent="0.25">
      <c r="A173" s="93" t="s">
        <v>2166</v>
      </c>
      <c r="C173" s="92" t="s">
        <v>2167</v>
      </c>
      <c r="F173" s="105" t="s">
        <v>1233</v>
      </c>
      <c r="G173" s="278">
        <f>SUM(G170:G172)</f>
        <v>5000</v>
      </c>
    </row>
    <row r="174" spans="1:10" s="92" customFormat="1" ht="16" x14ac:dyDescent="0.2">
      <c r="A174" s="93" t="s">
        <v>2168</v>
      </c>
      <c r="C174" s="92" t="s">
        <v>2115</v>
      </c>
      <c r="F174" s="105" t="s">
        <v>2169</v>
      </c>
      <c r="G174" s="266">
        <v>0.3</v>
      </c>
    </row>
    <row r="175" spans="1:10" s="92" customFormat="1" ht="17" thickBot="1" x14ac:dyDescent="0.25">
      <c r="C175" s="92" t="s">
        <v>2170</v>
      </c>
      <c r="F175" s="267" t="s">
        <v>2161</v>
      </c>
      <c r="G175" s="268">
        <f>-G173*G174</f>
        <v>-1500</v>
      </c>
      <c r="J175" s="92" t="s">
        <v>2195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2171</v>
      </c>
      <c r="C178" s="184" t="s">
        <v>2120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2172</v>
      </c>
      <c r="C179" s="184" t="s">
        <v>2105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2173</v>
      </c>
      <c r="C180" s="184" t="s">
        <v>2174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2175</v>
      </c>
      <c r="C181" s="273" t="s">
        <v>2170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2176</v>
      </c>
      <c r="C182" s="184" t="s">
        <v>2124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2125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2126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2177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2178</v>
      </c>
      <c r="C187" s="92" t="s">
        <v>2179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2180</v>
      </c>
      <c r="I190" s="92" t="s">
        <v>2196</v>
      </c>
    </row>
    <row r="191" spans="1:9" s="92" customFormat="1" ht="16" x14ac:dyDescent="0.2"/>
    <row r="192" spans="1:9" s="92" customFormat="1" ht="16" x14ac:dyDescent="0.2">
      <c r="F192" s="105" t="s">
        <v>2140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2197</v>
      </c>
      <c r="H199" s="285">
        <f>NPV(10%,F194:F198)+F193</f>
        <v>-78959.429000751348</v>
      </c>
      <c r="I199" s="92" t="s">
        <v>2181</v>
      </c>
    </row>
    <row r="200" spans="1:9" s="92" customFormat="1" ht="16" x14ac:dyDescent="0.2"/>
    <row r="201" spans="1:9" s="92" customFormat="1" ht="16" x14ac:dyDescent="0.2">
      <c r="C201" s="92" t="s">
        <v>2198</v>
      </c>
    </row>
    <row r="202" spans="1:9" s="92" customFormat="1" ht="16" x14ac:dyDescent="0.2"/>
    <row r="203" spans="1:9" s="92" customFormat="1" ht="16" x14ac:dyDescent="0.2">
      <c r="A203" s="252" t="s">
        <v>2199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2200</v>
      </c>
    </row>
    <row r="206" spans="1:9" s="92" customFormat="1" ht="16" x14ac:dyDescent="0.2">
      <c r="A206" s="92" t="s">
        <v>2201</v>
      </c>
    </row>
    <row r="207" spans="1:9" s="92" customFormat="1" ht="16" x14ac:dyDescent="0.2">
      <c r="A207" s="93" t="s">
        <v>2202</v>
      </c>
      <c r="B207" s="93"/>
    </row>
    <row r="208" spans="1:9" s="92" customFormat="1" ht="16" x14ac:dyDescent="0.2">
      <c r="A208" s="93" t="s">
        <v>2203</v>
      </c>
      <c r="B208" s="93"/>
    </row>
    <row r="209" spans="1:10" s="92" customFormat="1" ht="16" x14ac:dyDescent="0.2">
      <c r="A209" s="93" t="s">
        <v>2204</v>
      </c>
    </row>
    <row r="210" spans="1:10" s="92" customFormat="1" ht="16" x14ac:dyDescent="0.2">
      <c r="A210" s="93" t="s">
        <v>2205</v>
      </c>
    </row>
    <row r="211" spans="1:10" s="92" customFormat="1" ht="16" x14ac:dyDescent="0.2">
      <c r="A211" s="93" t="s">
        <v>2206</v>
      </c>
    </row>
    <row r="212" spans="1:10" s="92" customFormat="1" ht="16" x14ac:dyDescent="0.2">
      <c r="A212" s="93" t="s">
        <v>2207</v>
      </c>
    </row>
    <row r="213" spans="1:10" s="92" customFormat="1" ht="16" x14ac:dyDescent="0.2">
      <c r="A213" s="93" t="s">
        <v>2208</v>
      </c>
    </row>
    <row r="214" spans="1:10" s="92" customFormat="1" ht="16" x14ac:dyDescent="0.2">
      <c r="A214" s="93" t="s">
        <v>2209</v>
      </c>
    </row>
    <row r="215" spans="1:10" s="92" customFormat="1" ht="16" x14ac:dyDescent="0.2">
      <c r="A215" s="93" t="s">
        <v>2210</v>
      </c>
    </row>
    <row r="216" spans="1:10" s="92" customFormat="1" ht="16" x14ac:dyDescent="0.2">
      <c r="A216" s="92" t="s">
        <v>2211</v>
      </c>
    </row>
    <row r="217" spans="1:10" s="92" customFormat="1" ht="16" x14ac:dyDescent="0.2">
      <c r="A217" s="92" t="s">
        <v>2212</v>
      </c>
    </row>
    <row r="218" spans="1:10" s="92" customFormat="1" ht="16" x14ac:dyDescent="0.2"/>
    <row r="219" spans="1:10" s="92" customFormat="1" ht="16" x14ac:dyDescent="0.2">
      <c r="A219" s="92" t="s">
        <v>2213</v>
      </c>
    </row>
    <row r="220" spans="1:10" s="92" customFormat="1" ht="16" x14ac:dyDescent="0.2"/>
    <row r="221" spans="1:10" s="92" customFormat="1" ht="16" x14ac:dyDescent="0.2">
      <c r="F221" s="262" t="s">
        <v>2154</v>
      </c>
      <c r="G221" s="262" t="s">
        <v>2155</v>
      </c>
    </row>
    <row r="222" spans="1:10" s="92" customFormat="1" ht="16" x14ac:dyDescent="0.2">
      <c r="A222" s="93" t="s">
        <v>2156</v>
      </c>
      <c r="C222" s="92" t="s">
        <v>2157</v>
      </c>
      <c r="F222" s="105" t="s">
        <v>2158</v>
      </c>
      <c r="G222" s="263">
        <v>188000</v>
      </c>
    </row>
    <row r="223" spans="1:10" s="92" customFormat="1" ht="16" x14ac:dyDescent="0.2">
      <c r="A223" s="93" t="s">
        <v>2159</v>
      </c>
      <c r="C223" s="92" t="s">
        <v>2160</v>
      </c>
      <c r="F223" s="105" t="s">
        <v>2161</v>
      </c>
      <c r="G223" s="264">
        <f>-40000-37000-20000</f>
        <v>-97000</v>
      </c>
      <c r="J223" s="92" t="s">
        <v>2214</v>
      </c>
    </row>
    <row r="224" spans="1:10" s="92" customFormat="1" ht="16" x14ac:dyDescent="0.2">
      <c r="A224" s="93" t="s">
        <v>2163</v>
      </c>
      <c r="C224" s="92" t="s">
        <v>2164</v>
      </c>
      <c r="F224" s="105" t="s">
        <v>2161</v>
      </c>
      <c r="G224" s="265">
        <f>-300000/4</f>
        <v>-75000</v>
      </c>
      <c r="J224" s="92" t="s">
        <v>2215</v>
      </c>
    </row>
    <row r="225" spans="1:9" s="92" customFormat="1" ht="17" thickBot="1" x14ac:dyDescent="0.25">
      <c r="A225" s="93" t="s">
        <v>2166</v>
      </c>
      <c r="C225" s="92" t="s">
        <v>2167</v>
      </c>
      <c r="F225" s="105" t="s">
        <v>1233</v>
      </c>
      <c r="G225" s="278">
        <f>SUM(G222:G224)</f>
        <v>16000</v>
      </c>
    </row>
    <row r="226" spans="1:9" s="92" customFormat="1" ht="16" x14ac:dyDescent="0.2">
      <c r="A226" s="93" t="s">
        <v>2168</v>
      </c>
      <c r="C226" s="92" t="s">
        <v>2115</v>
      </c>
      <c r="F226" s="105" t="s">
        <v>2169</v>
      </c>
      <c r="G226" s="266">
        <v>0.3</v>
      </c>
    </row>
    <row r="227" spans="1:9" s="92" customFormat="1" ht="17" thickBot="1" x14ac:dyDescent="0.25">
      <c r="C227" s="92" t="s">
        <v>2170</v>
      </c>
      <c r="F227" s="267" t="s">
        <v>2161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2171</v>
      </c>
      <c r="C230" s="184" t="s">
        <v>2120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2172</v>
      </c>
      <c r="C231" s="184" t="s">
        <v>2105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2173</v>
      </c>
      <c r="C232" s="184" t="s">
        <v>2174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2175</v>
      </c>
      <c r="C233" s="273" t="s">
        <v>2170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2176</v>
      </c>
      <c r="C234" s="184" t="s">
        <v>2124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2125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2126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2177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2178</v>
      </c>
      <c r="C239" s="92" t="s">
        <v>2179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2180</v>
      </c>
    </row>
    <row r="243" spans="1:9" s="92" customFormat="1" ht="16" x14ac:dyDescent="0.2"/>
    <row r="244" spans="1:9" s="92" customFormat="1" ht="16" x14ac:dyDescent="0.2">
      <c r="F244" s="105" t="s">
        <v>2140</v>
      </c>
      <c r="I244" s="92" t="s">
        <v>2216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2197</v>
      </c>
      <c r="H251" s="285">
        <f>NPV(8%,F246:F249)+F245</f>
        <v>-11728.50796231383</v>
      </c>
      <c r="I251" s="92" t="s">
        <v>2181</v>
      </c>
    </row>
    <row r="252" spans="1:9" s="92" customFormat="1" ht="16" x14ac:dyDescent="0.2"/>
    <row r="253" spans="1:9" s="92" customFormat="1" ht="16" x14ac:dyDescent="0.2">
      <c r="C253" s="92" t="s">
        <v>2198</v>
      </c>
    </row>
    <row r="254" spans="1:9" s="92" customFormat="1" ht="16" x14ac:dyDescent="0.2"/>
    <row r="255" spans="1:9" s="92" customFormat="1" ht="16" x14ac:dyDescent="0.2">
      <c r="A255" s="252" t="s">
        <v>2217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2218</v>
      </c>
    </row>
    <row r="257" spans="1:10" s="92" customFormat="1" ht="16" x14ac:dyDescent="0.2">
      <c r="A257" s="92" t="s">
        <v>2219</v>
      </c>
    </row>
    <row r="258" spans="1:10" s="92" customFormat="1" ht="16" x14ac:dyDescent="0.2">
      <c r="A258" s="92" t="s">
        <v>2220</v>
      </c>
    </row>
    <row r="259" spans="1:10" s="92" customFormat="1" ht="16" x14ac:dyDescent="0.2">
      <c r="A259" s="92" t="s">
        <v>2221</v>
      </c>
    </row>
    <row r="260" spans="1:10" s="92" customFormat="1" ht="16" x14ac:dyDescent="0.2">
      <c r="A260" s="92" t="s">
        <v>2222</v>
      </c>
    </row>
    <row r="261" spans="1:10" s="92" customFormat="1" ht="16" x14ac:dyDescent="0.2">
      <c r="A261" s="92" t="s">
        <v>2223</v>
      </c>
    </row>
    <row r="262" spans="1:10" s="92" customFormat="1" ht="16" x14ac:dyDescent="0.2">
      <c r="A262" s="92" t="s">
        <v>2224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2225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2226</v>
      </c>
    </row>
    <row r="265" spans="1:10" s="92" customFormat="1" ht="16" x14ac:dyDescent="0.2">
      <c r="A265" s="92" t="s">
        <v>2227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2228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2154</v>
      </c>
      <c r="G271" s="262" t="s">
        <v>2229</v>
      </c>
      <c r="H271" s="262" t="s">
        <v>2230</v>
      </c>
      <c r="I271" s="262" t="s">
        <v>2231</v>
      </c>
      <c r="J271" s="262" t="s">
        <v>2232</v>
      </c>
    </row>
    <row r="272" spans="1:10" s="92" customFormat="1" ht="16" x14ac:dyDescent="0.2">
      <c r="A272" s="93" t="s">
        <v>2156</v>
      </c>
      <c r="C272" s="92" t="s">
        <v>2157</v>
      </c>
      <c r="F272" s="105" t="s">
        <v>2158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2159</v>
      </c>
      <c r="C273" s="92" t="s">
        <v>2160</v>
      </c>
      <c r="F273" s="105" t="s">
        <v>2161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2163</v>
      </c>
      <c r="C274" s="92" t="s">
        <v>2164</v>
      </c>
      <c r="F274" s="105" t="s">
        <v>2161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2166</v>
      </c>
      <c r="C275" s="92" t="s">
        <v>2167</v>
      </c>
      <c r="F275" s="105" t="s">
        <v>1233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2168</v>
      </c>
      <c r="C276" s="92" t="s">
        <v>2115</v>
      </c>
      <c r="F276" s="105" t="s">
        <v>2169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2170</v>
      </c>
      <c r="F277" s="267" t="s">
        <v>2161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2171</v>
      </c>
      <c r="C280" s="184" t="s">
        <v>2120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2172</v>
      </c>
      <c r="C281" s="184" t="s">
        <v>2105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2173</v>
      </c>
      <c r="C282" s="184" t="s">
        <v>2174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2175</v>
      </c>
      <c r="C283" s="184" t="s">
        <v>2123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2176</v>
      </c>
      <c r="C284" s="184" t="s">
        <v>2124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2125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2126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2177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2178</v>
      </c>
      <c r="C289" s="92" t="s">
        <v>2179</v>
      </c>
    </row>
    <row r="290" spans="1:9" s="92" customFormat="1" ht="16" x14ac:dyDescent="0.2"/>
    <row r="291" spans="1:9" s="92" customFormat="1" ht="16" x14ac:dyDescent="0.2">
      <c r="I291" s="92" t="s">
        <v>2233</v>
      </c>
    </row>
    <row r="292" spans="1:9" s="92" customFormat="1" ht="16" x14ac:dyDescent="0.2">
      <c r="D292" s="92" t="s">
        <v>2180</v>
      </c>
      <c r="I292" s="92" t="s">
        <v>2196</v>
      </c>
    </row>
    <row r="293" spans="1:9" s="92" customFormat="1" ht="16" x14ac:dyDescent="0.2"/>
    <row r="294" spans="1:9" s="92" customFormat="1" ht="16" x14ac:dyDescent="0.2">
      <c r="F294" s="105" t="s">
        <v>2140</v>
      </c>
      <c r="I294" s="92" t="s">
        <v>2216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2197</v>
      </c>
      <c r="H301" s="285">
        <f>NPV(10%,F296:F299)+F295</f>
        <v>-34227.819138037157</v>
      </c>
      <c r="I301" s="92" t="s">
        <v>2181</v>
      </c>
    </row>
    <row r="302" spans="1:9" s="92" customFormat="1" ht="16" x14ac:dyDescent="0.2"/>
    <row r="303" spans="1:9" s="92" customFormat="1" ht="16" x14ac:dyDescent="0.2">
      <c r="D303" s="92" t="s">
        <v>2234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2235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2236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2237</v>
      </c>
      <c r="H3" s="217"/>
    </row>
    <row r="4" spans="1:8" x14ac:dyDescent="0.2">
      <c r="A4" s="323" t="s">
        <v>2238</v>
      </c>
      <c r="H4" s="217"/>
    </row>
    <row r="5" spans="1:8" x14ac:dyDescent="0.2">
      <c r="A5" s="323" t="s">
        <v>2239</v>
      </c>
      <c r="H5" s="217"/>
    </row>
    <row r="6" spans="1:8" x14ac:dyDescent="0.2">
      <c r="A6" s="323" t="s">
        <v>2240</v>
      </c>
      <c r="H6" s="217"/>
    </row>
    <row r="7" spans="1:8" ht="16" thickBot="1" x14ac:dyDescent="0.25">
      <c r="A7" s="236" t="s">
        <v>2241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2242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2477</v>
      </c>
      <c r="H10" s="217"/>
    </row>
    <row r="11" spans="1:8" x14ac:dyDescent="0.2">
      <c r="A11" s="323" t="s">
        <v>2243</v>
      </c>
      <c r="H11" s="217"/>
    </row>
    <row r="12" spans="1:8" x14ac:dyDescent="0.2">
      <c r="A12" s="323"/>
      <c r="H12" s="217"/>
    </row>
    <row r="13" spans="1:8" x14ac:dyDescent="0.2">
      <c r="A13" s="323" t="s">
        <v>2475</v>
      </c>
      <c r="H13" s="217"/>
    </row>
    <row r="14" spans="1:8" x14ac:dyDescent="0.2">
      <c r="A14" s="216" t="s">
        <v>2474</v>
      </c>
      <c r="H14" s="217"/>
    </row>
    <row r="15" spans="1:8" x14ac:dyDescent="0.2">
      <c r="A15" s="323" t="s">
        <v>2476</v>
      </c>
      <c r="H15" s="217"/>
    </row>
    <row r="16" spans="1:8" ht="16" thickBot="1" x14ac:dyDescent="0.25">
      <c r="A16" s="236" t="s">
        <v>2478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2244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2245</v>
      </c>
      <c r="H19" s="217"/>
    </row>
    <row r="20" spans="1:13" x14ac:dyDescent="0.2">
      <c r="A20" s="323" t="s">
        <v>2246</v>
      </c>
      <c r="H20" s="217"/>
    </row>
    <row r="21" spans="1:13" x14ac:dyDescent="0.2">
      <c r="A21" s="323" t="s">
        <v>2247</v>
      </c>
      <c r="H21" s="217"/>
    </row>
    <row r="22" spans="1:13" ht="16" thickBot="1" x14ac:dyDescent="0.25">
      <c r="A22" s="236" t="s">
        <v>2473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2248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2482</v>
      </c>
    </row>
    <row r="28" spans="1:13" x14ac:dyDescent="0.2">
      <c r="J28" s="43" t="s">
        <v>2483</v>
      </c>
    </row>
    <row r="29" spans="1:13" x14ac:dyDescent="0.2">
      <c r="J29" s="558" t="s">
        <v>2481</v>
      </c>
      <c r="K29" s="558" t="s">
        <v>2480</v>
      </c>
      <c r="L29" s="558" t="s">
        <v>2479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1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2">
        <f>FV(J30,J31,J33,J32,J35)</f>
        <v>12941.161642125811</v>
      </c>
      <c r="K34" s="561">
        <f>FV(K30,K31,K33,K32,K35)</f>
        <v>3277.5541099517886</v>
      </c>
      <c r="L34" s="560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2249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2250</v>
      </c>
    </row>
    <row r="50" spans="1:1" x14ac:dyDescent="0.2">
      <c r="A50" s="43" t="s">
        <v>2251</v>
      </c>
    </row>
    <row r="51" spans="1:1" x14ac:dyDescent="0.2">
      <c r="A51" s="43" t="s">
        <v>2252</v>
      </c>
    </row>
    <row r="52" spans="1:1" x14ac:dyDescent="0.2">
      <c r="A52" s="43" t="s">
        <v>2253</v>
      </c>
    </row>
    <row r="53" spans="1:1" x14ac:dyDescent="0.2">
      <c r="A53" s="43" t="s">
        <v>2254</v>
      </c>
    </row>
    <row r="54" spans="1:1" x14ac:dyDescent="0.2">
      <c r="A54" s="43" t="s">
        <v>2255</v>
      </c>
    </row>
    <row r="56" spans="1:1" x14ac:dyDescent="0.2">
      <c r="A56" s="43" t="s">
        <v>2256</v>
      </c>
    </row>
    <row r="57" spans="1:1" x14ac:dyDescent="0.2">
      <c r="A57" s="43" t="s">
        <v>2257</v>
      </c>
    </row>
    <row r="58" spans="1:1" x14ac:dyDescent="0.2">
      <c r="A58" s="43" t="s">
        <v>2258</v>
      </c>
    </row>
    <row r="59" spans="1:1" x14ac:dyDescent="0.2">
      <c r="A59" s="43" t="s">
        <v>2259</v>
      </c>
    </row>
    <row r="61" spans="1:1" x14ac:dyDescent="0.2">
      <c r="A61" s="43" t="s">
        <v>2260</v>
      </c>
    </row>
    <row r="62" spans="1:1" x14ac:dyDescent="0.2">
      <c r="A62" s="43" t="s">
        <v>2261</v>
      </c>
    </row>
    <row r="63" spans="1:1" x14ac:dyDescent="0.2">
      <c r="A63" s="43" t="s">
        <v>2262</v>
      </c>
    </row>
    <row r="65" spans="1:8" x14ac:dyDescent="0.2">
      <c r="C65" s="59" t="s">
        <v>2263</v>
      </c>
      <c r="D65" s="59" t="s">
        <v>2264</v>
      </c>
      <c r="E65" s="59" t="s">
        <v>2265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2267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3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4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4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4">
        <v>0</v>
      </c>
      <c r="R86" s="92"/>
    </row>
    <row r="87" spans="9:18" ht="16" x14ac:dyDescent="0.2">
      <c r="J87" s="47">
        <f t="shared" ref="J87:J95" si="1">J86+1</f>
        <v>3</v>
      </c>
      <c r="K87" s="564">
        <v>150000</v>
      </c>
      <c r="R87" s="92"/>
    </row>
    <row r="88" spans="9:18" ht="16" x14ac:dyDescent="0.2">
      <c r="J88" s="47">
        <f t="shared" si="1"/>
        <v>4</v>
      </c>
      <c r="K88" s="564">
        <v>0</v>
      </c>
      <c r="R88" s="92"/>
    </row>
    <row r="89" spans="9:18" ht="16" x14ac:dyDescent="0.2">
      <c r="J89" s="47">
        <f t="shared" si="1"/>
        <v>5</v>
      </c>
      <c r="K89" s="564">
        <v>0</v>
      </c>
      <c r="R89" s="92"/>
    </row>
    <row r="90" spans="9:18" ht="16" x14ac:dyDescent="0.2">
      <c r="J90" s="47">
        <f t="shared" si="1"/>
        <v>6</v>
      </c>
      <c r="K90" s="564">
        <v>0</v>
      </c>
      <c r="R90" s="92"/>
    </row>
    <row r="91" spans="9:18" x14ac:dyDescent="0.2">
      <c r="J91" s="47">
        <f t="shared" si="1"/>
        <v>7</v>
      </c>
      <c r="K91" s="564">
        <v>0</v>
      </c>
    </row>
    <row r="92" spans="9:18" x14ac:dyDescent="0.2">
      <c r="J92" s="47">
        <f t="shared" si="1"/>
        <v>8</v>
      </c>
      <c r="K92" s="564">
        <v>0</v>
      </c>
    </row>
    <row r="93" spans="9:18" x14ac:dyDescent="0.2">
      <c r="J93" s="47">
        <f>J92+1</f>
        <v>9</v>
      </c>
      <c r="K93" s="564">
        <v>350000</v>
      </c>
    </row>
    <row r="94" spans="9:18" x14ac:dyDescent="0.2">
      <c r="J94" s="47">
        <f t="shared" si="1"/>
        <v>10</v>
      </c>
      <c r="K94" s="564">
        <v>0</v>
      </c>
    </row>
    <row r="95" spans="9:18" x14ac:dyDescent="0.2">
      <c r="J95" s="47">
        <f t="shared" si="1"/>
        <v>11</v>
      </c>
      <c r="K95" s="564">
        <v>0</v>
      </c>
    </row>
    <row r="96" spans="9:18" x14ac:dyDescent="0.2">
      <c r="J96" s="47">
        <f>J95+1</f>
        <v>12</v>
      </c>
      <c r="K96" s="564">
        <v>400000</v>
      </c>
    </row>
    <row r="98" spans="1:12" x14ac:dyDescent="0.2">
      <c r="J98" s="47" t="s">
        <v>87</v>
      </c>
      <c r="K98" s="559">
        <f>(1+6.168%)^(1/12)-1</f>
        <v>5.0001726099697663E-3</v>
      </c>
    </row>
    <row r="100" spans="1:12" x14ac:dyDescent="0.2">
      <c r="K100" s="564">
        <f>NPV(K98,K85:K96)+K84</f>
        <v>1009169.7179833071</v>
      </c>
      <c r="L100" s="43" t="s">
        <v>1964</v>
      </c>
    </row>
    <row r="102" spans="1:12" ht="16" x14ac:dyDescent="0.2">
      <c r="I102" s="47" t="s">
        <v>1393</v>
      </c>
      <c r="K102" s="565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2268</v>
      </c>
      <c r="B104" s="325"/>
      <c r="C104" s="325"/>
      <c r="D104" s="325"/>
      <c r="E104" s="325"/>
      <c r="F104" s="325"/>
      <c r="G104" s="325"/>
      <c r="H104" s="325"/>
      <c r="K104" s="566">
        <f>PV(K102,K103,K105,K106)</f>
        <v>1036093.7382262076</v>
      </c>
      <c r="L104" s="92" t="s">
        <v>281</v>
      </c>
    </row>
    <row r="105" spans="1:12" ht="16" x14ac:dyDescent="0.2">
      <c r="A105" s="74" t="s">
        <v>2269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2270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2271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2272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2273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2274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1393</v>
      </c>
      <c r="C113" s="329" t="s">
        <v>610</v>
      </c>
      <c r="D113" s="328" t="s">
        <v>611</v>
      </c>
      <c r="E113" s="60" t="s">
        <v>2275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2276</v>
      </c>
    </row>
    <row r="129" spans="1:12" x14ac:dyDescent="0.2">
      <c r="B129" s="47" t="s">
        <v>2277</v>
      </c>
      <c r="C129" s="47" t="s">
        <v>2278</v>
      </c>
      <c r="D129" s="47" t="s">
        <v>2279</v>
      </c>
    </row>
    <row r="130" spans="1:12" x14ac:dyDescent="0.2">
      <c r="B130" s="47" t="s">
        <v>2280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2281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2282</v>
      </c>
      <c r="B134" s="47"/>
      <c r="E134" s="161">
        <v>5.0000000000000001E-3</v>
      </c>
      <c r="G134" s="43" t="s">
        <v>2283</v>
      </c>
    </row>
    <row r="135" spans="1:12" x14ac:dyDescent="0.2">
      <c r="A135" s="74"/>
      <c r="B135" s="47"/>
    </row>
    <row r="136" spans="1:12" x14ac:dyDescent="0.2">
      <c r="A136" s="325" t="s">
        <v>2284</v>
      </c>
      <c r="B136" s="325"/>
      <c r="C136" s="325"/>
      <c r="D136" s="325"/>
      <c r="E136" s="325"/>
      <c r="F136" s="325"/>
      <c r="G136" s="325"/>
      <c r="H136" s="325"/>
      <c r="J136" s="570" t="s">
        <v>2514</v>
      </c>
      <c r="K136" s="570"/>
      <c r="L136" s="570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8">
        <f>NPV(U148,U150:U166)*(1+12.69%)^(1/12)</f>
        <v>285005.14977651188</v>
      </c>
      <c r="V147" s="43" t="s">
        <v>728</v>
      </c>
      <c r="W147" s="569" t="s">
        <v>2505</v>
      </c>
      <c r="X147" s="569"/>
      <c r="AB147" s="59" t="s">
        <v>2502</v>
      </c>
      <c r="AC147" s="59"/>
    </row>
    <row r="148" spans="1:29" ht="16" x14ac:dyDescent="0.2">
      <c r="S148" s="291" t="s">
        <v>2486</v>
      </c>
      <c r="U148" s="291">
        <f>(1+12.69%)^(2/12)-1</f>
        <v>2.0111311227025475E-2</v>
      </c>
      <c r="V148" s="291"/>
      <c r="AB148" s="565">
        <f>U148</f>
        <v>2.0111311227025475E-2</v>
      </c>
      <c r="AC148" s="92" t="s">
        <v>87</v>
      </c>
    </row>
    <row r="149" spans="1:29" ht="16" x14ac:dyDescent="0.2">
      <c r="S149" s="43" t="s">
        <v>1154</v>
      </c>
      <c r="T149" s="29">
        <v>1.4</v>
      </c>
      <c r="U149" s="29"/>
      <c r="V149" s="291"/>
      <c r="W149" s="43" t="s">
        <v>2487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2488</v>
      </c>
      <c r="AB150" s="566">
        <f>PV(AB148,AB149,AB151,AB152)</f>
        <v>-285571.67567212071</v>
      </c>
      <c r="AC150" s="92" t="s">
        <v>281</v>
      </c>
    </row>
    <row r="151" spans="1:29" ht="16" x14ac:dyDescent="0.2">
      <c r="A151" s="325" t="s">
        <v>2285</v>
      </c>
      <c r="B151" s="325"/>
      <c r="C151" s="325"/>
      <c r="D151" s="325"/>
      <c r="E151" s="325"/>
      <c r="F151" s="325"/>
      <c r="G151" s="325"/>
      <c r="H151" s="325"/>
      <c r="S151" s="547" t="s">
        <v>2485</v>
      </c>
      <c r="T151" s="29">
        <v>30.6</v>
      </c>
      <c r="U151" s="29">
        <v>20000</v>
      </c>
      <c r="V151" s="444"/>
      <c r="W151" s="43" t="s">
        <v>2489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2490</v>
      </c>
      <c r="AB152" s="47">
        <v>0</v>
      </c>
      <c r="AC152" s="92" t="s">
        <v>105</v>
      </c>
    </row>
    <row r="153" spans="1:29" ht="16" x14ac:dyDescent="0.2">
      <c r="A153" s="43" t="s">
        <v>2286</v>
      </c>
      <c r="S153" s="47"/>
      <c r="T153" s="567" t="s">
        <v>2484</v>
      </c>
      <c r="U153" s="29">
        <v>20000</v>
      </c>
      <c r="V153" s="444"/>
      <c r="W153" s="43" t="s">
        <v>2491</v>
      </c>
      <c r="AB153" s="47">
        <v>0</v>
      </c>
      <c r="AC153" s="92" t="s">
        <v>328</v>
      </c>
    </row>
    <row r="154" spans="1:29" x14ac:dyDescent="0.2">
      <c r="A154" s="43" t="s">
        <v>2287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2492</v>
      </c>
    </row>
    <row r="155" spans="1:29" x14ac:dyDescent="0.2">
      <c r="A155" s="43" t="s">
        <v>2288</v>
      </c>
      <c r="F155" s="151">
        <f>1.06^2-1</f>
        <v>0.12360000000000015</v>
      </c>
      <c r="H155" s="43" t="s">
        <v>2289</v>
      </c>
      <c r="S155" s="47"/>
      <c r="T155" s="29">
        <v>28.2</v>
      </c>
      <c r="U155" s="29">
        <v>20000</v>
      </c>
      <c r="V155" s="444"/>
      <c r="W155" s="43" t="s">
        <v>2493</v>
      </c>
      <c r="AB155" s="43">
        <f>ABS(AB150)*(1+AB148)^0.5</f>
        <v>288428.99151651585</v>
      </c>
      <c r="AC155" s="43" t="s">
        <v>2501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2494</v>
      </c>
    </row>
    <row r="157" spans="1:29" x14ac:dyDescent="0.2">
      <c r="A157" s="43" t="s">
        <v>2290</v>
      </c>
      <c r="S157" s="47"/>
      <c r="T157" s="29">
        <v>30.6</v>
      </c>
      <c r="U157" s="29">
        <v>20000</v>
      </c>
      <c r="V157" s="444"/>
      <c r="W157" s="43" t="s">
        <v>2495</v>
      </c>
      <c r="AB157" s="59" t="s">
        <v>2503</v>
      </c>
      <c r="AC157" s="59"/>
    </row>
    <row r="158" spans="1:29" ht="16" x14ac:dyDescent="0.2">
      <c r="A158" s="43" t="s">
        <v>2291</v>
      </c>
      <c r="S158" s="47"/>
      <c r="T158" s="29">
        <v>30.8</v>
      </c>
      <c r="U158" s="29">
        <v>20000</v>
      </c>
      <c r="V158" s="444"/>
      <c r="W158" s="43" t="s">
        <v>2496</v>
      </c>
      <c r="AB158" s="565">
        <v>0.12690000000000001</v>
      </c>
      <c r="AC158" s="92" t="s">
        <v>87</v>
      </c>
    </row>
    <row r="159" spans="1:29" ht="16" x14ac:dyDescent="0.2">
      <c r="A159" s="43" t="s">
        <v>2292</v>
      </c>
      <c r="S159" s="47"/>
      <c r="T159" s="567" t="s">
        <v>2484</v>
      </c>
      <c r="U159" s="29">
        <v>20000</v>
      </c>
      <c r="V159" s="444"/>
      <c r="W159" s="43" t="s">
        <v>2497</v>
      </c>
      <c r="AB159" s="47">
        <v>3</v>
      </c>
      <c r="AC159" s="92" t="s">
        <v>89</v>
      </c>
    </row>
    <row r="160" spans="1:29" ht="16" x14ac:dyDescent="0.2">
      <c r="A160" s="43" t="s">
        <v>2293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2498</v>
      </c>
      <c r="AB160" s="566">
        <f>PV(AB158,AB159,AB161,AB162)</f>
        <v>3323.0917893448377</v>
      </c>
      <c r="AC160" s="92" t="s">
        <v>281</v>
      </c>
    </row>
    <row r="161" spans="1:29" ht="16" x14ac:dyDescent="0.2">
      <c r="C161" s="59" t="s">
        <v>2294</v>
      </c>
      <c r="D161" s="59" t="s">
        <v>2295</v>
      </c>
      <c r="S161" s="47"/>
      <c r="T161" s="29">
        <v>28.2</v>
      </c>
      <c r="U161" s="29">
        <v>20000</v>
      </c>
      <c r="V161" s="444"/>
      <c r="W161" s="43" t="s">
        <v>2499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2500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7" t="s">
        <v>2484</v>
      </c>
      <c r="U165" s="29">
        <v>20000</v>
      </c>
      <c r="V165" s="444"/>
      <c r="AB165" s="43">
        <f>-AB160*(1+12.69%)^(3/12)</f>
        <v>-3423.8417400038034</v>
      </c>
      <c r="AC165" s="43" t="s">
        <v>2501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2504</v>
      </c>
    </row>
    <row r="169" spans="1:29" x14ac:dyDescent="0.2">
      <c r="A169" s="43" t="s">
        <v>2296</v>
      </c>
      <c r="W169" s="569" t="s">
        <v>2506</v>
      </c>
      <c r="X169" s="569"/>
    </row>
    <row r="170" spans="1:29" x14ac:dyDescent="0.2">
      <c r="D170" s="59" t="s">
        <v>828</v>
      </c>
      <c r="E170" s="59" t="s">
        <v>2297</v>
      </c>
      <c r="W170" s="43" t="s">
        <v>2507</v>
      </c>
    </row>
    <row r="171" spans="1:29" x14ac:dyDescent="0.2">
      <c r="D171" s="43">
        <v>0</v>
      </c>
      <c r="E171" s="43">
        <v>0</v>
      </c>
      <c r="W171" s="43" t="s">
        <v>2508</v>
      </c>
    </row>
    <row r="172" spans="1:29" x14ac:dyDescent="0.2">
      <c r="D172" s="43">
        <v>-800</v>
      </c>
      <c r="E172" s="43">
        <v>1</v>
      </c>
      <c r="W172" s="43" t="s">
        <v>2509</v>
      </c>
    </row>
    <row r="173" spans="1:29" x14ac:dyDescent="0.2">
      <c r="D173" s="43">
        <v>0</v>
      </c>
      <c r="E173" s="43">
        <v>2</v>
      </c>
      <c r="W173" s="43" t="s">
        <v>2510</v>
      </c>
    </row>
    <row r="174" spans="1:29" x14ac:dyDescent="0.2">
      <c r="D174" s="43">
        <v>-800</v>
      </c>
      <c r="E174" s="43">
        <v>3</v>
      </c>
      <c r="W174" s="43" t="s">
        <v>2511</v>
      </c>
    </row>
    <row r="175" spans="1:29" x14ac:dyDescent="0.2">
      <c r="D175" s="43">
        <v>0</v>
      </c>
      <c r="E175" s="43">
        <v>4</v>
      </c>
      <c r="W175" s="43" t="s">
        <v>2512</v>
      </c>
    </row>
    <row r="176" spans="1:29" x14ac:dyDescent="0.2">
      <c r="D176" s="43">
        <v>-800</v>
      </c>
      <c r="E176" s="43">
        <v>5</v>
      </c>
      <c r="W176" s="43" t="s">
        <v>2513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2298</v>
      </c>
      <c r="D180" s="334">
        <f>NPV(C162,D172:D178)+D171</f>
        <v>-2556.2646367486313</v>
      </c>
      <c r="E180" s="43" t="s">
        <v>2276</v>
      </c>
    </row>
    <row r="185" spans="1:8" x14ac:dyDescent="0.2">
      <c r="A185" s="325" t="s">
        <v>2299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2300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2301</v>
      </c>
    </row>
    <row r="206" spans="1:8" x14ac:dyDescent="0.2">
      <c r="A206" s="43" t="s">
        <v>2302</v>
      </c>
    </row>
    <row r="208" spans="1:8" x14ac:dyDescent="0.2">
      <c r="B208" s="59" t="s">
        <v>2303</v>
      </c>
      <c r="C208" s="59" t="s">
        <v>450</v>
      </c>
      <c r="D208" s="59" t="s">
        <v>2304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2266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2305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2306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2307</v>
      </c>
    </row>
    <row r="250" spans="1:8" x14ac:dyDescent="0.2">
      <c r="A250" s="43" t="s">
        <v>2308</v>
      </c>
    </row>
    <row r="251" spans="1:8" x14ac:dyDescent="0.2">
      <c r="A251" s="43" t="s">
        <v>2309</v>
      </c>
    </row>
    <row r="253" spans="1:8" x14ac:dyDescent="0.2">
      <c r="C253" s="59" t="s">
        <v>2310</v>
      </c>
      <c r="D253" s="59" t="s">
        <v>2311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2312</v>
      </c>
      <c r="E261" s="92"/>
    </row>
    <row r="262" spans="1:5" ht="16" x14ac:dyDescent="0.2">
      <c r="A262" s="43" t="s">
        <v>2313</v>
      </c>
      <c r="E262" s="92"/>
    </row>
    <row r="263" spans="1:5" ht="16" x14ac:dyDescent="0.2">
      <c r="E263" s="92"/>
    </row>
    <row r="264" spans="1:5" ht="64" x14ac:dyDescent="0.2">
      <c r="C264" s="347" t="s">
        <v>2314</v>
      </c>
      <c r="D264" s="346" t="s">
        <v>2315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2316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2266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2317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2318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2319</v>
      </c>
    </row>
    <row r="313" spans="1:8" x14ac:dyDescent="0.2">
      <c r="A313" s="43" t="s">
        <v>2320</v>
      </c>
    </row>
    <row r="315" spans="1:8" x14ac:dyDescent="0.2">
      <c r="B315" s="59" t="s">
        <v>2321</v>
      </c>
      <c r="C315" s="59" t="s">
        <v>2322</v>
      </c>
      <c r="D315" s="59" t="s">
        <v>2323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2266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2324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2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1">
        <f>M345+M346</f>
        <v>94</v>
      </c>
      <c r="O347" s="72"/>
    </row>
    <row r="348" spans="1:15" x14ac:dyDescent="0.2">
      <c r="J348" s="43" t="s">
        <v>2331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2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1">
        <f>M351+M352</f>
        <v>96</v>
      </c>
    </row>
    <row r="356" spans="1:13" x14ac:dyDescent="0.2">
      <c r="A356" s="325" t="s">
        <v>2325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2326</v>
      </c>
      <c r="E358" s="205">
        <f>1.015^4-1</f>
        <v>6.136355062499943E-2</v>
      </c>
      <c r="G358" s="43" t="s">
        <v>2327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2328</v>
      </c>
    </row>
    <row r="360" spans="1:13" x14ac:dyDescent="0.2">
      <c r="A360" s="43" t="s">
        <v>2329</v>
      </c>
      <c r="E360" s="161">
        <f>1.0055^12-1</f>
        <v>6.8033559467648441E-2</v>
      </c>
      <c r="G360" s="43" t="s">
        <v>2330</v>
      </c>
    </row>
    <row r="361" spans="1:13" x14ac:dyDescent="0.2">
      <c r="A361" s="43" t="s">
        <v>2331</v>
      </c>
      <c r="E361" s="161">
        <f>1.01^2/0.96-1</f>
        <v>6.2604166666666794E-2</v>
      </c>
      <c r="G361" s="43" t="s">
        <v>2332</v>
      </c>
    </row>
    <row r="362" spans="1:13" x14ac:dyDescent="0.2">
      <c r="A362" s="43" t="s">
        <v>2333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2266</v>
      </c>
    </row>
    <row r="365" spans="1:13" x14ac:dyDescent="0.2">
      <c r="A365" s="324" t="s">
        <v>2334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2335</v>
      </c>
      <c r="G366" s="43" t="s">
        <v>2336</v>
      </c>
      <c r="H366" s="217"/>
    </row>
    <row r="367" spans="1:13" x14ac:dyDescent="0.2">
      <c r="A367" s="323" t="s">
        <v>2337</v>
      </c>
      <c r="H367" s="217"/>
    </row>
    <row r="368" spans="1:13" x14ac:dyDescent="0.2">
      <c r="A368" s="323" t="s">
        <v>2338</v>
      </c>
      <c r="H368" s="217"/>
    </row>
    <row r="369" spans="1:8" x14ac:dyDescent="0.2">
      <c r="A369" s="323" t="s">
        <v>2339</v>
      </c>
      <c r="H369" s="217"/>
    </row>
    <row r="370" spans="1:8" x14ac:dyDescent="0.2">
      <c r="A370" s="323" t="s">
        <v>2340</v>
      </c>
      <c r="H370" s="217"/>
    </row>
    <row r="371" spans="1:8" x14ac:dyDescent="0.2">
      <c r="A371" s="323" t="s">
        <v>2341</v>
      </c>
      <c r="H371" s="217"/>
    </row>
    <row r="372" spans="1:8" x14ac:dyDescent="0.2">
      <c r="A372" s="323" t="s">
        <v>2342</v>
      </c>
      <c r="H372" s="217"/>
    </row>
    <row r="373" spans="1:8" x14ac:dyDescent="0.2">
      <c r="A373" s="323" t="s">
        <v>2343</v>
      </c>
      <c r="H373" s="217"/>
    </row>
    <row r="374" spans="1:8" x14ac:dyDescent="0.2">
      <c r="A374" s="323" t="s">
        <v>2344</v>
      </c>
      <c r="H374" s="217"/>
    </row>
    <row r="375" spans="1:8" ht="16" thickBot="1" x14ac:dyDescent="0.25">
      <c r="A375" s="236" t="s">
        <v>2345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2346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2347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2348</v>
      </c>
    </row>
    <row r="398" spans="1:8" x14ac:dyDescent="0.2">
      <c r="A398" s="43" t="s">
        <v>2349</v>
      </c>
    </row>
    <row r="399" spans="1:8" x14ac:dyDescent="0.2">
      <c r="A399" s="43" t="s">
        <v>2350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2351</v>
      </c>
      <c r="F402" s="48">
        <v>100000</v>
      </c>
      <c r="G402" s="43" t="s">
        <v>2352</v>
      </c>
    </row>
    <row r="403" spans="1:8" x14ac:dyDescent="0.2">
      <c r="B403" s="47">
        <v>230</v>
      </c>
      <c r="C403" s="43" t="s">
        <v>2353</v>
      </c>
      <c r="F403" s="48">
        <f>-1.5%*100000</f>
        <v>-1500</v>
      </c>
      <c r="G403" s="43" t="s">
        <v>2354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2355</v>
      </c>
    </row>
    <row r="407" spans="1:8" x14ac:dyDescent="0.2">
      <c r="A407" s="43" t="s">
        <v>2356</v>
      </c>
      <c r="C407" s="201">
        <f>-B404/F404-1</f>
        <v>3.7258883248731056E-2</v>
      </c>
      <c r="H407" s="43" t="s">
        <v>2357</v>
      </c>
    </row>
    <row r="408" spans="1:8" x14ac:dyDescent="0.2">
      <c r="A408" s="43" t="s">
        <v>2358</v>
      </c>
      <c r="C408" s="341">
        <f>(1+C407)^2-1</f>
        <v>7.5905990878404772E-2</v>
      </c>
      <c r="H408" s="43" t="s">
        <v>2359</v>
      </c>
    </row>
    <row r="410" spans="1:8" x14ac:dyDescent="0.2">
      <c r="A410" s="43" t="s">
        <v>2360</v>
      </c>
    </row>
    <row r="411" spans="1:8" x14ac:dyDescent="0.2">
      <c r="A411" s="43" t="s">
        <v>2361</v>
      </c>
      <c r="C411" s="201">
        <f>(100000*1.024-230)/(100000*0.985)-1</f>
        <v>3.7258883248731056E-2</v>
      </c>
      <c r="H411" s="43" t="s">
        <v>2362</v>
      </c>
    </row>
    <row r="412" spans="1:8" x14ac:dyDescent="0.2">
      <c r="A412" s="43" t="s">
        <v>2363</v>
      </c>
      <c r="C412" s="341">
        <f>(1+C411)^2-1</f>
        <v>7.5905990878404772E-2</v>
      </c>
      <c r="H412" s="43" t="s">
        <v>2359</v>
      </c>
    </row>
    <row r="414" spans="1:8" ht="16" thickBot="1" x14ac:dyDescent="0.25">
      <c r="A414" s="44" t="s">
        <v>2266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2364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2365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2366</v>
      </c>
    </row>
    <row r="452" spans="1:8" x14ac:dyDescent="0.2">
      <c r="A452" s="43" t="s">
        <v>2367</v>
      </c>
    </row>
    <row r="453" spans="1:8" x14ac:dyDescent="0.2">
      <c r="A453" s="43" t="s">
        <v>2368</v>
      </c>
    </row>
    <row r="454" spans="1:8" x14ac:dyDescent="0.2">
      <c r="A454" s="43" t="s">
        <v>2369</v>
      </c>
    </row>
    <row r="456" spans="1:8" x14ac:dyDescent="0.2">
      <c r="C456" s="59" t="s">
        <v>268</v>
      </c>
      <c r="D456" s="59" t="s">
        <v>2370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2266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2371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2372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2373</v>
      </c>
    </row>
    <row r="495" spans="1:8" x14ac:dyDescent="0.2">
      <c r="A495" s="43" t="s">
        <v>2374</v>
      </c>
    </row>
    <row r="496" spans="1:8" x14ac:dyDescent="0.2">
      <c r="A496" s="43" t="s">
        <v>2375</v>
      </c>
    </row>
    <row r="497" spans="1:8" x14ac:dyDescent="0.2">
      <c r="E497" s="74">
        <f>100000*10/15</f>
        <v>66666.666666666672</v>
      </c>
      <c r="H497" s="43" t="s">
        <v>2376</v>
      </c>
    </row>
    <row r="498" spans="1:8" x14ac:dyDescent="0.2">
      <c r="A498" s="43" t="s">
        <v>2377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1513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1515</v>
      </c>
    </row>
    <row r="508" spans="1:8" ht="16" thickBot="1" x14ac:dyDescent="0.25">
      <c r="A508" s="44" t="s">
        <v>2266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2378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2379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2380</v>
      </c>
    </row>
    <row r="545" spans="1:5" x14ac:dyDescent="0.2">
      <c r="A545" s="43" t="s">
        <v>2381</v>
      </c>
    </row>
    <row r="547" spans="1:5" x14ac:dyDescent="0.2">
      <c r="D547" s="59" t="s">
        <v>2382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2383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1513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1515</v>
      </c>
    </row>
    <row r="564" spans="1:8" ht="16" thickBot="1" x14ac:dyDescent="0.25">
      <c r="A564" s="44" t="s">
        <v>2266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2384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2385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2386</v>
      </c>
    </row>
    <row r="604" spans="1:8" x14ac:dyDescent="0.2">
      <c r="B604" s="49" t="s">
        <v>1919</v>
      </c>
      <c r="C604" s="49" t="s">
        <v>1920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2387</v>
      </c>
      <c r="B611" s="54">
        <v>0.1</v>
      </c>
      <c r="C611" s="54">
        <v>0.1</v>
      </c>
    </row>
    <row r="612" spans="1:8" x14ac:dyDescent="0.2">
      <c r="A612" s="47" t="s">
        <v>2388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2389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2390</v>
      </c>
    </row>
    <row r="615" spans="1:8" x14ac:dyDescent="0.2">
      <c r="A615" s="47" t="s">
        <v>2391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2392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2266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2393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2394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2395</v>
      </c>
    </row>
    <row r="647" spans="1:8" x14ac:dyDescent="0.2">
      <c r="A647" s="43" t="s">
        <v>2396</v>
      </c>
    </row>
    <row r="648" spans="1:8" x14ac:dyDescent="0.2">
      <c r="A648" s="43" t="s">
        <v>2397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2398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2399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2400</v>
      </c>
    </row>
    <row r="665" spans="1:8" x14ac:dyDescent="0.2">
      <c r="A665" s="321">
        <f>D659*1.01^5*1.02^2*1^3</f>
        <v>768681.03428546432</v>
      </c>
      <c r="E665" s="43" t="s">
        <v>2401</v>
      </c>
    </row>
    <row r="667" spans="1:8" ht="16" thickBot="1" x14ac:dyDescent="0.25">
      <c r="A667" s="44" t="s">
        <v>2266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2519</v>
      </c>
    </row>
    <row r="5" spans="1:8" x14ac:dyDescent="0.2">
      <c r="A5" s="43" t="s">
        <v>49</v>
      </c>
    </row>
    <row r="6" spans="1:8" x14ac:dyDescent="0.2">
      <c r="A6" s="43" t="s">
        <v>2520</v>
      </c>
    </row>
    <row r="7" spans="1:8" x14ac:dyDescent="0.2">
      <c r="A7" s="43" t="s">
        <v>2521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4" t="s">
        <v>58</v>
      </c>
      <c r="B19" s="575"/>
      <c r="C19" s="575"/>
      <c r="D19" s="575"/>
      <c r="E19" s="575"/>
      <c r="F19" s="575"/>
      <c r="G19" s="575"/>
      <c r="H19" s="575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9" t="s">
        <v>3013</v>
      </c>
      <c r="B71" s="569"/>
      <c r="C71" s="569"/>
      <c r="D71" s="569"/>
      <c r="E71" s="569"/>
      <c r="F71" s="569"/>
      <c r="G71" s="569"/>
      <c r="H71" s="569"/>
    </row>
    <row r="72" spans="1:8" ht="16" thickBot="1" x14ac:dyDescent="0.25"/>
    <row r="73" spans="1:8" ht="16" thickBot="1" x14ac:dyDescent="0.25">
      <c r="A73" s="207" t="s">
        <v>3006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3014</v>
      </c>
    </row>
    <row r="76" spans="1:8" x14ac:dyDescent="0.2">
      <c r="A76" s="43" t="s">
        <v>3015</v>
      </c>
    </row>
    <row r="78" spans="1:8" x14ac:dyDescent="0.2">
      <c r="A78" s="43" t="s">
        <v>111</v>
      </c>
    </row>
    <row r="80" spans="1:8" x14ac:dyDescent="0.2">
      <c r="A80" s="43" t="s">
        <v>3030</v>
      </c>
    </row>
    <row r="81" spans="1:8" x14ac:dyDescent="0.2">
      <c r="A81" s="43" t="s">
        <v>3031</v>
      </c>
    </row>
    <row r="83" spans="1:8" x14ac:dyDescent="0.2">
      <c r="F83" s="43" t="s">
        <v>3032</v>
      </c>
      <c r="H83" s="43" t="s">
        <v>3039</v>
      </c>
    </row>
    <row r="84" spans="1:8" x14ac:dyDescent="0.2">
      <c r="H84" s="43" t="s">
        <v>3040</v>
      </c>
    </row>
    <row r="85" spans="1:8" x14ac:dyDescent="0.2">
      <c r="H85" s="43" t="s">
        <v>3041</v>
      </c>
    </row>
    <row r="86" spans="1:8" x14ac:dyDescent="0.2">
      <c r="D86" s="43" t="s">
        <v>3042</v>
      </c>
      <c r="F86" s="43" t="s">
        <v>3033</v>
      </c>
    </row>
    <row r="87" spans="1:8" x14ac:dyDescent="0.2">
      <c r="D87" s="43" t="s">
        <v>3043</v>
      </c>
      <c r="F87" s="43" t="s">
        <v>3034</v>
      </c>
    </row>
    <row r="88" spans="1:8" x14ac:dyDescent="0.2">
      <c r="D88" s="43" t="s">
        <v>3044</v>
      </c>
      <c r="F88" s="43" t="s">
        <v>3035</v>
      </c>
    </row>
    <row r="89" spans="1:8" x14ac:dyDescent="0.2">
      <c r="D89" s="43" t="s">
        <v>3045</v>
      </c>
      <c r="F89" s="43" t="s">
        <v>3036</v>
      </c>
    </row>
    <row r="90" spans="1:8" x14ac:dyDescent="0.2">
      <c r="D90" s="43" t="s">
        <v>3046</v>
      </c>
      <c r="F90" s="43" t="s">
        <v>3037</v>
      </c>
    </row>
    <row r="91" spans="1:8" x14ac:dyDescent="0.2">
      <c r="D91" s="44" t="s">
        <v>3047</v>
      </c>
      <c r="F91" s="43" t="s">
        <v>3038</v>
      </c>
    </row>
    <row r="92" spans="1:8" x14ac:dyDescent="0.2">
      <c r="D92" s="43" t="s">
        <v>3050</v>
      </c>
    </row>
    <row r="93" spans="1:8" x14ac:dyDescent="0.2">
      <c r="D93" s="43" t="s">
        <v>3048</v>
      </c>
    </row>
    <row r="94" spans="1:8" x14ac:dyDescent="0.2">
      <c r="D94" s="43" t="s">
        <v>3049</v>
      </c>
    </row>
    <row r="95" spans="1:8" x14ac:dyDescent="0.2">
      <c r="D95" s="43" t="s">
        <v>70</v>
      </c>
    </row>
    <row r="96" spans="1:8" x14ac:dyDescent="0.2">
      <c r="H96" s="43" t="s">
        <v>3052</v>
      </c>
    </row>
    <row r="97" spans="1:8" x14ac:dyDescent="0.2">
      <c r="F97" s="43" t="s">
        <v>3051</v>
      </c>
      <c r="H97" s="43" t="s">
        <v>3053</v>
      </c>
    </row>
    <row r="99" spans="1:8" x14ac:dyDescent="0.2">
      <c r="A99" s="44" t="s">
        <v>3007</v>
      </c>
    </row>
    <row r="101" spans="1:8" x14ac:dyDescent="0.2">
      <c r="A101" s="43" t="s">
        <v>3016</v>
      </c>
    </row>
    <row r="102" spans="1:8" x14ac:dyDescent="0.2">
      <c r="A102" s="43" t="s">
        <v>3017</v>
      </c>
    </row>
    <row r="104" spans="1:8" x14ac:dyDescent="0.2">
      <c r="D104" s="48">
        <f>50000*(1+7%*3+9%*5)</f>
        <v>83000</v>
      </c>
      <c r="G104" s="43" t="s">
        <v>3054</v>
      </c>
    </row>
    <row r="107" spans="1:8" x14ac:dyDescent="0.2">
      <c r="E107" s="43" t="s">
        <v>3058</v>
      </c>
      <c r="G107" s="43" t="s">
        <v>3055</v>
      </c>
    </row>
    <row r="108" spans="1:8" x14ac:dyDescent="0.2">
      <c r="E108" s="43" t="s">
        <v>3059</v>
      </c>
      <c r="G108" s="43" t="s">
        <v>3056</v>
      </c>
    </row>
    <row r="109" spans="1:8" x14ac:dyDescent="0.2">
      <c r="E109" s="43" t="s">
        <v>3060</v>
      </c>
      <c r="G109" s="43" t="s">
        <v>3057</v>
      </c>
    </row>
    <row r="110" spans="1:8" x14ac:dyDescent="0.2">
      <c r="E110" s="43" t="s">
        <v>3061</v>
      </c>
    </row>
    <row r="111" spans="1:8" x14ac:dyDescent="0.2">
      <c r="E111" s="43" t="s">
        <v>3062</v>
      </c>
    </row>
    <row r="112" spans="1:8" x14ac:dyDescent="0.2">
      <c r="E112" s="43" t="s">
        <v>3063</v>
      </c>
    </row>
    <row r="114" spans="1:7" x14ac:dyDescent="0.2">
      <c r="G114" s="43" t="s">
        <v>3064</v>
      </c>
    </row>
    <row r="117" spans="1:7" x14ac:dyDescent="0.2">
      <c r="E117" s="43" t="s">
        <v>3067</v>
      </c>
      <c r="G117" s="43" t="s">
        <v>3065</v>
      </c>
    </row>
    <row r="118" spans="1:7" x14ac:dyDescent="0.2">
      <c r="E118" s="43" t="s">
        <v>3068</v>
      </c>
      <c r="G118" s="43" t="s">
        <v>3066</v>
      </c>
    </row>
    <row r="119" spans="1:7" x14ac:dyDescent="0.2">
      <c r="E119" s="43" t="s">
        <v>3069</v>
      </c>
    </row>
    <row r="120" spans="1:7" x14ac:dyDescent="0.2">
      <c r="E120" s="43" t="s">
        <v>3070</v>
      </c>
    </row>
    <row r="121" spans="1:7" x14ac:dyDescent="0.2">
      <c r="E121" s="43" t="s">
        <v>3071</v>
      </c>
    </row>
    <row r="122" spans="1:7" x14ac:dyDescent="0.2">
      <c r="E122" s="43" t="s">
        <v>3072</v>
      </c>
    </row>
    <row r="124" spans="1:7" x14ac:dyDescent="0.2">
      <c r="A124" s="44" t="s">
        <v>3008</v>
      </c>
    </row>
    <row r="126" spans="1:7" x14ac:dyDescent="0.2">
      <c r="A126" s="43" t="s">
        <v>3018</v>
      </c>
    </row>
    <row r="127" spans="1:7" x14ac:dyDescent="0.2">
      <c r="A127" s="43" t="s">
        <v>3019</v>
      </c>
    </row>
    <row r="129" spans="1:6" x14ac:dyDescent="0.2">
      <c r="A129" s="43" t="s">
        <v>111</v>
      </c>
    </row>
    <row r="131" spans="1:6" x14ac:dyDescent="0.2">
      <c r="A131" s="43" t="s">
        <v>3073</v>
      </c>
    </row>
    <row r="132" spans="1:6" x14ac:dyDescent="0.2">
      <c r="A132" s="43" t="s">
        <v>3074</v>
      </c>
    </row>
    <row r="134" spans="1:6" x14ac:dyDescent="0.2">
      <c r="F134" s="43" t="s">
        <v>3075</v>
      </c>
    </row>
    <row r="136" spans="1:6" x14ac:dyDescent="0.2">
      <c r="A136" s="43" t="s">
        <v>3076</v>
      </c>
    </row>
    <row r="137" spans="1:6" x14ac:dyDescent="0.2">
      <c r="A137" s="43" t="s">
        <v>3077</v>
      </c>
    </row>
    <row r="138" spans="1:6" x14ac:dyDescent="0.2">
      <c r="A138" s="43" t="s">
        <v>3078</v>
      </c>
    </row>
    <row r="139" spans="1:6" x14ac:dyDescent="0.2">
      <c r="A139" s="43" t="s">
        <v>3079</v>
      </c>
    </row>
    <row r="141" spans="1:6" x14ac:dyDescent="0.2">
      <c r="A141" s="43" t="s">
        <v>3080</v>
      </c>
    </row>
    <row r="142" spans="1:6" x14ac:dyDescent="0.2">
      <c r="D142" s="74">
        <f>90000*1.05^10</f>
        <v>146600.51640996974</v>
      </c>
      <c r="F142" s="43" t="s">
        <v>3081</v>
      </c>
    </row>
    <row r="145" spans="1:8" x14ac:dyDescent="0.2">
      <c r="D145" s="43" t="s">
        <v>3084</v>
      </c>
      <c r="F145" s="43" t="s">
        <v>3082</v>
      </c>
    </row>
    <row r="146" spans="1:8" x14ac:dyDescent="0.2">
      <c r="D146" s="43" t="s">
        <v>3085</v>
      </c>
      <c r="F146" s="43" t="s">
        <v>3083</v>
      </c>
    </row>
    <row r="147" spans="1:8" x14ac:dyDescent="0.2">
      <c r="D147" s="43" t="s">
        <v>3086</v>
      </c>
    </row>
    <row r="148" spans="1:8" x14ac:dyDescent="0.2">
      <c r="D148" s="43" t="s">
        <v>3087</v>
      </c>
    </row>
    <row r="149" spans="1:8" x14ac:dyDescent="0.2">
      <c r="D149" s="43" t="s">
        <v>3088</v>
      </c>
      <c r="H149" s="43" t="s">
        <v>3090</v>
      </c>
    </row>
    <row r="150" spans="1:8" x14ac:dyDescent="0.2">
      <c r="H150" s="43" t="s">
        <v>3091</v>
      </c>
    </row>
    <row r="151" spans="1:8" x14ac:dyDescent="0.2">
      <c r="F151" s="43" t="s">
        <v>3089</v>
      </c>
      <c r="H151" s="43" t="s">
        <v>3092</v>
      </c>
    </row>
    <row r="152" spans="1:8" x14ac:dyDescent="0.2">
      <c r="H152" s="43" t="s">
        <v>3093</v>
      </c>
    </row>
    <row r="153" spans="1:8" x14ac:dyDescent="0.2">
      <c r="H153" s="43" t="s">
        <v>3094</v>
      </c>
    </row>
    <row r="155" spans="1:8" x14ac:dyDescent="0.2">
      <c r="A155" s="43" t="s">
        <v>3095</v>
      </c>
    </row>
    <row r="157" spans="1:8" x14ac:dyDescent="0.2">
      <c r="E157" s="54">
        <v>0.05</v>
      </c>
      <c r="F157" s="43" t="s">
        <v>87</v>
      </c>
      <c r="G157" s="43" t="s">
        <v>3096</v>
      </c>
    </row>
    <row r="158" spans="1:8" x14ac:dyDescent="0.2">
      <c r="E158" s="47">
        <v>10</v>
      </c>
      <c r="F158" s="43" t="s">
        <v>89</v>
      </c>
      <c r="G158" s="43" t="s">
        <v>3097</v>
      </c>
    </row>
    <row r="159" spans="1:8" x14ac:dyDescent="0.2">
      <c r="E159" s="48">
        <v>0</v>
      </c>
      <c r="F159" s="43" t="s">
        <v>91</v>
      </c>
      <c r="G159" s="43" t="s">
        <v>3098</v>
      </c>
    </row>
    <row r="160" spans="1:8" x14ac:dyDescent="0.2">
      <c r="A160" s="43" t="s">
        <v>3101</v>
      </c>
      <c r="E160" s="48">
        <v>-90000</v>
      </c>
      <c r="F160" s="43" t="s">
        <v>281</v>
      </c>
      <c r="G160" s="43" t="s">
        <v>3099</v>
      </c>
    </row>
    <row r="161" spans="1:7" x14ac:dyDescent="0.2">
      <c r="D161" s="43" t="s">
        <v>1601</v>
      </c>
      <c r="E161" s="150">
        <f>FV(E157,E158,E159,E160)</f>
        <v>146600.51640996974</v>
      </c>
      <c r="F161" s="43" t="s">
        <v>105</v>
      </c>
      <c r="G161" s="43" t="s">
        <v>3100</v>
      </c>
    </row>
    <row r="163" spans="1:7" x14ac:dyDescent="0.2">
      <c r="A163" s="43" t="s">
        <v>3102</v>
      </c>
    </row>
    <row r="164" spans="1:7" x14ac:dyDescent="0.2">
      <c r="A164" s="43" t="s">
        <v>3103</v>
      </c>
    </row>
    <row r="166" spans="1:7" x14ac:dyDescent="0.2">
      <c r="A166" s="44" t="s">
        <v>3009</v>
      </c>
    </row>
    <row r="168" spans="1:7" x14ac:dyDescent="0.2">
      <c r="A168" s="43" t="s">
        <v>3023</v>
      </c>
    </row>
    <row r="169" spans="1:7" x14ac:dyDescent="0.2">
      <c r="A169" s="43" t="s">
        <v>3020</v>
      </c>
    </row>
    <row r="170" spans="1:7" x14ac:dyDescent="0.2">
      <c r="A170" s="43" t="s">
        <v>3021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3104</v>
      </c>
    </row>
    <row r="176" spans="1:7" x14ac:dyDescent="0.2">
      <c r="F176" s="43" t="s">
        <v>3105</v>
      </c>
    </row>
    <row r="178" spans="1:6" x14ac:dyDescent="0.2">
      <c r="A178" s="43" t="s">
        <v>3106</v>
      </c>
    </row>
    <row r="180" spans="1:6" x14ac:dyDescent="0.2">
      <c r="B180" s="47" t="s">
        <v>1012</v>
      </c>
      <c r="C180" s="47" t="s">
        <v>771</v>
      </c>
      <c r="D180" s="47" t="s">
        <v>772</v>
      </c>
    </row>
    <row r="181" spans="1:6" x14ac:dyDescent="0.2">
      <c r="B181" s="49" t="s">
        <v>3109</v>
      </c>
      <c r="C181" s="49" t="s">
        <v>3108</v>
      </c>
      <c r="D181" s="49" t="s">
        <v>3107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3096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3097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3098</v>
      </c>
    </row>
    <row r="185" spans="1:6" x14ac:dyDescent="0.2">
      <c r="B185" s="331">
        <f>-C186</f>
        <v>-30607.30107002881</v>
      </c>
      <c r="C185" s="566">
        <f>-D186</f>
        <v>-22497.280000000002</v>
      </c>
      <c r="D185" s="48">
        <v>-20000</v>
      </c>
      <c r="E185" s="43" t="s">
        <v>281</v>
      </c>
      <c r="F185" s="43" t="s">
        <v>3099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6">
        <f>FV(D182,D183,D184,D185)</f>
        <v>22497.280000000002</v>
      </c>
      <c r="E186" s="43" t="s">
        <v>105</v>
      </c>
      <c r="F186" s="43" t="s">
        <v>3100</v>
      </c>
    </row>
    <row r="188" spans="1:6" x14ac:dyDescent="0.2">
      <c r="A188" s="43" t="s">
        <v>3110</v>
      </c>
    </row>
    <row r="189" spans="1:6" x14ac:dyDescent="0.2">
      <c r="A189" s="43" t="s">
        <v>3111</v>
      </c>
    </row>
    <row r="190" spans="1:6" x14ac:dyDescent="0.2">
      <c r="A190" s="43" t="s">
        <v>3112</v>
      </c>
    </row>
    <row r="191" spans="1:6" x14ac:dyDescent="0.2">
      <c r="A191" s="43" t="s">
        <v>3113</v>
      </c>
    </row>
    <row r="192" spans="1:6" x14ac:dyDescent="0.2">
      <c r="A192" s="43" t="s">
        <v>3114</v>
      </c>
    </row>
    <row r="193" spans="1:7" x14ac:dyDescent="0.2">
      <c r="A193" s="43" t="s">
        <v>3115</v>
      </c>
    </row>
    <row r="195" spans="1:7" x14ac:dyDescent="0.2">
      <c r="A195" s="44" t="s">
        <v>3010</v>
      </c>
    </row>
    <row r="197" spans="1:7" x14ac:dyDescent="0.2">
      <c r="A197" s="43" t="s">
        <v>3119</v>
      </c>
    </row>
    <row r="198" spans="1:7" x14ac:dyDescent="0.2">
      <c r="A198" s="43" t="s">
        <v>3118</v>
      </c>
    </row>
    <row r="199" spans="1:7" x14ac:dyDescent="0.2">
      <c r="A199" s="43" t="s">
        <v>3022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3120</v>
      </c>
      <c r="C202" s="47"/>
      <c r="D202" s="49" t="s">
        <v>3117</v>
      </c>
      <c r="E202" s="49" t="s">
        <v>3116</v>
      </c>
    </row>
    <row r="203" spans="1:7" x14ac:dyDescent="0.2">
      <c r="A203" s="43" t="s">
        <v>3121</v>
      </c>
      <c r="C203" s="54"/>
      <c r="D203" s="54">
        <v>0.03</v>
      </c>
      <c r="E203" s="54">
        <v>0.01</v>
      </c>
      <c r="F203" s="43" t="s">
        <v>87</v>
      </c>
      <c r="G203" s="43" t="s">
        <v>3096</v>
      </c>
    </row>
    <row r="204" spans="1:7" x14ac:dyDescent="0.2">
      <c r="A204" s="43" t="s">
        <v>3122</v>
      </c>
      <c r="C204" s="47"/>
      <c r="D204" s="121">
        <f>6*12</f>
        <v>72</v>
      </c>
      <c r="E204" s="47">
        <v>4</v>
      </c>
      <c r="F204" s="43" t="s">
        <v>89</v>
      </c>
      <c r="G204" s="43" t="s">
        <v>3097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3098</v>
      </c>
    </row>
    <row r="206" spans="1:7" x14ac:dyDescent="0.2">
      <c r="C206" s="48"/>
      <c r="D206" s="566">
        <f>-E207</f>
        <v>-20812.0802</v>
      </c>
      <c r="E206" s="48">
        <v>-20000</v>
      </c>
      <c r="F206" s="43" t="s">
        <v>281</v>
      </c>
      <c r="G206" s="43" t="s">
        <v>3099</v>
      </c>
    </row>
    <row r="207" spans="1:7" x14ac:dyDescent="0.2">
      <c r="C207" s="48"/>
      <c r="D207" s="678">
        <f>FV(D203,D204,D205,D206)</f>
        <v>174821.83303323836</v>
      </c>
      <c r="E207" s="566">
        <f>FV(E203,E204,E205,E206)</f>
        <v>20812.0802</v>
      </c>
      <c r="F207" s="43" t="s">
        <v>105</v>
      </c>
      <c r="G207" s="43" t="s">
        <v>3100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3011</v>
      </c>
    </row>
    <row r="212" spans="1:6" x14ac:dyDescent="0.2">
      <c r="A212" s="43" t="s">
        <v>3024</v>
      </c>
    </row>
    <row r="213" spans="1:6" x14ac:dyDescent="0.2">
      <c r="A213" s="43" t="s">
        <v>3025</v>
      </c>
    </row>
    <row r="215" spans="1:6" x14ac:dyDescent="0.2">
      <c r="A215" s="43" t="s">
        <v>3124</v>
      </c>
      <c r="E215" s="43" t="s">
        <v>3123</v>
      </c>
    </row>
    <row r="217" spans="1:6" x14ac:dyDescent="0.2">
      <c r="A217" s="43" t="s">
        <v>3125</v>
      </c>
    </row>
    <row r="219" spans="1:6" x14ac:dyDescent="0.2">
      <c r="C219" s="43" t="s">
        <v>196</v>
      </c>
      <c r="E219" s="679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3012</v>
      </c>
    </row>
    <row r="236" spans="1:1" x14ac:dyDescent="0.2">
      <c r="A236" s="43" t="s">
        <v>3026</v>
      </c>
    </row>
    <row r="237" spans="1:1" x14ac:dyDescent="0.2">
      <c r="A237" s="43" t="s">
        <v>3027</v>
      </c>
    </row>
    <row r="238" spans="1:1" x14ac:dyDescent="0.2">
      <c r="A238" s="43" t="s">
        <v>3028</v>
      </c>
    </row>
    <row r="256" spans="1:1" x14ac:dyDescent="0.2">
      <c r="A256" s="44" t="s">
        <v>3029</v>
      </c>
    </row>
    <row r="261" spans="1:8" x14ac:dyDescent="0.2">
      <c r="A261" s="158" t="s">
        <v>2522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2523</v>
      </c>
    </row>
    <row r="269" spans="1:8" x14ac:dyDescent="0.2">
      <c r="A269" s="43" t="s">
        <v>2524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7" t="s">
        <v>2525</v>
      </c>
      <c r="E276" s="687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2526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2528</v>
      </c>
      <c r="D282" s="43" t="s">
        <v>2527</v>
      </c>
    </row>
    <row r="283" spans="1:7" x14ac:dyDescent="0.2">
      <c r="A283" s="43" t="s">
        <v>2529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2532</v>
      </c>
      <c r="E287" s="44" t="s">
        <v>2531</v>
      </c>
      <c r="F287" s="44" t="s">
        <v>2530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2533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2534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2535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2536</v>
      </c>
    </row>
    <row r="312" spans="1:7" x14ac:dyDescent="0.2">
      <c r="B312" s="48"/>
      <c r="C312" s="47" t="s">
        <v>2537</v>
      </c>
      <c r="D312" s="43" t="s">
        <v>1547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2538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2541</v>
      </c>
      <c r="F345" s="43" t="s">
        <v>2539</v>
      </c>
    </row>
    <row r="346" spans="1:7" x14ac:dyDescent="0.2">
      <c r="C346" s="43" t="s">
        <v>2542</v>
      </c>
      <c r="E346" s="43" t="s">
        <v>2540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2543</v>
      </c>
      <c r="F353" s="77"/>
      <c r="G353" s="77">
        <v>0.04</v>
      </c>
      <c r="H353" s="43" t="s">
        <v>87</v>
      </c>
    </row>
    <row r="354" spans="1:8" x14ac:dyDescent="0.2">
      <c r="C354" s="43" t="s">
        <v>2544</v>
      </c>
      <c r="G354" s="43">
        <v>10</v>
      </c>
      <c r="H354" s="43" t="s">
        <v>89</v>
      </c>
    </row>
    <row r="355" spans="1:8" x14ac:dyDescent="0.2">
      <c r="C355" s="43" t="s">
        <v>2545</v>
      </c>
      <c r="G355" s="43">
        <v>0</v>
      </c>
      <c r="H355" s="43" t="s">
        <v>91</v>
      </c>
    </row>
    <row r="356" spans="1:8" x14ac:dyDescent="0.2">
      <c r="C356" s="43" t="s">
        <v>2546</v>
      </c>
      <c r="G356" s="43">
        <v>-5000</v>
      </c>
      <c r="H356" s="43" t="s">
        <v>281</v>
      </c>
    </row>
    <row r="357" spans="1:8" x14ac:dyDescent="0.2">
      <c r="C357" s="43" t="s">
        <v>2548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2547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2553</v>
      </c>
      <c r="D379" s="49" t="s">
        <v>2551</v>
      </c>
      <c r="E379" s="49" t="s">
        <v>2550</v>
      </c>
      <c r="F379" s="49" t="s">
        <v>2549</v>
      </c>
      <c r="I379" s="43" t="s">
        <v>2565</v>
      </c>
    </row>
    <row r="380" spans="1:9" x14ac:dyDescent="0.2">
      <c r="A380" s="43" t="s">
        <v>2554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2560</v>
      </c>
    </row>
    <row r="381" spans="1:9" x14ac:dyDescent="0.2">
      <c r="A381" s="43" t="s">
        <v>2555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2561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2562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2563</v>
      </c>
    </row>
    <row r="384" spans="1:9" ht="16" thickBot="1" x14ac:dyDescent="0.25">
      <c r="A384" s="44" t="s">
        <v>2556</v>
      </c>
      <c r="C384" s="50"/>
      <c r="D384" s="576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2564</v>
      </c>
    </row>
    <row r="385" spans="1:8" x14ac:dyDescent="0.2">
      <c r="A385" s="44" t="s">
        <v>2557</v>
      </c>
      <c r="C385" s="47"/>
      <c r="D385" s="687" t="s">
        <v>2552</v>
      </c>
      <c r="E385" s="687"/>
      <c r="F385" s="687"/>
      <c r="G385" s="43" t="s">
        <v>95</v>
      </c>
    </row>
    <row r="386" spans="1:8" x14ac:dyDescent="0.2">
      <c r="A386" s="44" t="s">
        <v>2558</v>
      </c>
    </row>
    <row r="387" spans="1:8" x14ac:dyDescent="0.2">
      <c r="A387" s="44" t="s">
        <v>2559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2550</v>
      </c>
      <c r="G406" s="49" t="s">
        <v>2549</v>
      </c>
    </row>
    <row r="407" spans="1:8" x14ac:dyDescent="0.2">
      <c r="A407" s="43" t="s">
        <v>2567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2568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2566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4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7" t="s">
        <v>2569</v>
      </c>
      <c r="E412" s="687"/>
      <c r="F412" s="687"/>
      <c r="G412" s="687"/>
      <c r="H412" s="43" t="s">
        <v>95</v>
      </c>
    </row>
    <row r="414" spans="1:8" x14ac:dyDescent="0.2">
      <c r="A414" s="158" t="s">
        <v>2570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2572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2571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2573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2577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2574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2575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2576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2581</v>
      </c>
      <c r="F461" s="43" t="s">
        <v>2578</v>
      </c>
    </row>
    <row r="462" spans="1:6" x14ac:dyDescent="0.2">
      <c r="D462" s="43" t="s">
        <v>2582</v>
      </c>
      <c r="F462" s="43" t="s">
        <v>2579</v>
      </c>
    </row>
    <row r="463" spans="1:6" x14ac:dyDescent="0.2">
      <c r="D463" s="43" t="s">
        <v>2583</v>
      </c>
      <c r="F463" s="43" t="s">
        <v>2580</v>
      </c>
    </row>
    <row r="464" spans="1:6" x14ac:dyDescent="0.2">
      <c r="D464" s="43" t="s">
        <v>2584</v>
      </c>
    </row>
    <row r="465" spans="1:6" x14ac:dyDescent="0.2">
      <c r="D465" s="43" t="s">
        <v>2580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2585</v>
      </c>
      <c r="E490" s="47"/>
    </row>
    <row r="491" spans="1:8" x14ac:dyDescent="0.2">
      <c r="A491" s="43" t="s">
        <v>2586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7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2588</v>
      </c>
      <c r="E496" s="29">
        <v>0</v>
      </c>
      <c r="G496" s="291" t="s">
        <v>91</v>
      </c>
    </row>
    <row r="497" spans="1:8" s="291" customFormat="1" x14ac:dyDescent="0.2">
      <c r="A497" s="291" t="s">
        <v>2587</v>
      </c>
      <c r="E497" s="296">
        <v>-3000</v>
      </c>
      <c r="G497" s="291" t="s">
        <v>93</v>
      </c>
    </row>
    <row r="498" spans="1:8" s="291" customFormat="1" x14ac:dyDescent="0.2">
      <c r="A498" s="291" t="s">
        <v>2589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2590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2603</v>
      </c>
    </row>
    <row r="519" spans="1:6" x14ac:dyDescent="0.2">
      <c r="C519" s="43" t="s">
        <v>728</v>
      </c>
      <c r="D519" s="43" t="s">
        <v>2596</v>
      </c>
      <c r="F519" s="43" t="s">
        <v>2591</v>
      </c>
    </row>
    <row r="520" spans="1:6" x14ac:dyDescent="0.2">
      <c r="C520" s="43" t="s">
        <v>2600</v>
      </c>
      <c r="D520" s="43" t="s">
        <v>2597</v>
      </c>
      <c r="F520" s="43" t="s">
        <v>2592</v>
      </c>
    </row>
    <row r="521" spans="1:6" x14ac:dyDescent="0.2">
      <c r="C521" s="43" t="s">
        <v>2601</v>
      </c>
      <c r="D521" s="43" t="s">
        <v>2598</v>
      </c>
      <c r="F521" s="43" t="s">
        <v>2593</v>
      </c>
    </row>
    <row r="522" spans="1:6" x14ac:dyDescent="0.2">
      <c r="C522" s="43" t="s">
        <v>2602</v>
      </c>
      <c r="D522" s="43" t="s">
        <v>2599</v>
      </c>
      <c r="F522" s="43" t="s">
        <v>2594</v>
      </c>
    </row>
    <row r="523" spans="1:6" x14ac:dyDescent="0.2">
      <c r="F523" s="43" t="s">
        <v>2595</v>
      </c>
    </row>
    <row r="524" spans="1:6" x14ac:dyDescent="0.2">
      <c r="A524" s="43" t="s">
        <v>217</v>
      </c>
    </row>
    <row r="525" spans="1:6" x14ac:dyDescent="0.2">
      <c r="A525" s="43" t="s">
        <v>2604</v>
      </c>
    </row>
    <row r="526" spans="1:6" x14ac:dyDescent="0.2">
      <c r="A526" s="43" t="s">
        <v>2605</v>
      </c>
    </row>
    <row r="528" spans="1:6" x14ac:dyDescent="0.2">
      <c r="C528" s="47" t="s">
        <v>2607</v>
      </c>
      <c r="D528" s="47" t="s">
        <v>115</v>
      </c>
    </row>
    <row r="529" spans="1:7" x14ac:dyDescent="0.2">
      <c r="C529" s="47" t="s">
        <v>2608</v>
      </c>
      <c r="D529" s="47" t="s">
        <v>2606</v>
      </c>
    </row>
    <row r="530" spans="1:7" x14ac:dyDescent="0.2">
      <c r="C530" s="47" t="s">
        <v>2609</v>
      </c>
      <c r="D530" s="47" t="s">
        <v>218</v>
      </c>
    </row>
    <row r="531" spans="1:7" x14ac:dyDescent="0.2">
      <c r="C531" s="49" t="s">
        <v>2610</v>
      </c>
      <c r="D531" s="49">
        <v>8</v>
      </c>
    </row>
    <row r="532" spans="1:7" x14ac:dyDescent="0.2">
      <c r="A532" s="43" t="s">
        <v>2611</v>
      </c>
      <c r="C532" s="578">
        <f>D532</f>
        <v>8.0000000000000002E-3</v>
      </c>
      <c r="D532" s="578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2612</v>
      </c>
      <c r="C534" s="29">
        <v>0</v>
      </c>
      <c r="D534" s="29">
        <v>0</v>
      </c>
      <c r="G534" s="43" t="s">
        <v>91</v>
      </c>
    </row>
    <row r="535" spans="1:7" x14ac:dyDescent="0.2">
      <c r="C535" s="579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80">
        <f>FV(C532,C533,C534,C535,C536)</f>
        <v>7498.512931152588</v>
      </c>
      <c r="D538" s="579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3126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80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2613</v>
      </c>
      <c r="B72" s="25"/>
      <c r="C72" s="25"/>
      <c r="D72" s="25"/>
      <c r="E72" s="4"/>
      <c r="F72" s="4"/>
    </row>
    <row r="73" spans="1:8" x14ac:dyDescent="0.25">
      <c r="A73" s="1" t="s">
        <v>2614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2617</v>
      </c>
      <c r="C75" s="4" t="s">
        <v>2615</v>
      </c>
      <c r="D75" s="4"/>
      <c r="E75" s="4"/>
      <c r="F75" s="4"/>
    </row>
    <row r="76" spans="1:8" ht="22" thickBot="1" x14ac:dyDescent="0.3">
      <c r="B76" s="4" t="s">
        <v>2618</v>
      </c>
      <c r="C76" s="4" t="s">
        <v>2616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81"/>
      <c r="F94" s="682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81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2619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2620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2622</v>
      </c>
      <c r="B116" s="4"/>
      <c r="C116" s="390">
        <v>8.0000000000000002E-3</v>
      </c>
      <c r="D116" s="4" t="s">
        <v>87</v>
      </c>
      <c r="E116" s="7" t="s">
        <v>2621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2623</v>
      </c>
      <c r="B124" s="4"/>
      <c r="C124" s="390">
        <f>C116</f>
        <v>8.0000000000000002E-3</v>
      </c>
      <c r="D124" s="4" t="s">
        <v>87</v>
      </c>
      <c r="E124" s="7" t="s">
        <v>2626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2625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2624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1" t="s">
        <v>341</v>
      </c>
      <c r="C140" s="691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2627</v>
      </c>
      <c r="B147" s="4"/>
      <c r="C147" s="4"/>
      <c r="D147" s="4"/>
      <c r="E147" s="4"/>
      <c r="F147" s="4"/>
    </row>
    <row r="148" spans="1:6" x14ac:dyDescent="0.25">
      <c r="A148" s="1" t="s">
        <v>2628</v>
      </c>
      <c r="B148" s="4"/>
      <c r="C148" s="4"/>
      <c r="D148" s="4"/>
      <c r="E148" s="4"/>
      <c r="F148" s="4"/>
    </row>
    <row r="149" spans="1:6" x14ac:dyDescent="0.25">
      <c r="A149" s="1" t="s">
        <v>2629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1" t="s">
        <v>2632</v>
      </c>
      <c r="D151" s="581" t="s">
        <v>2631</v>
      </c>
      <c r="E151" s="383" t="s">
        <v>2630</v>
      </c>
      <c r="F151" s="374">
        <v>0</v>
      </c>
    </row>
    <row r="152" spans="1:6" x14ac:dyDescent="0.25">
      <c r="A152" s="1" t="s">
        <v>2680</v>
      </c>
      <c r="B152" s="4"/>
      <c r="C152" s="582"/>
      <c r="D152" s="582"/>
      <c r="E152" s="27"/>
      <c r="F152" s="417"/>
    </row>
    <row r="153" spans="1:6" x14ac:dyDescent="0.25">
      <c r="B153" s="4"/>
      <c r="C153" s="582" t="s">
        <v>2638</v>
      </c>
      <c r="D153" s="582" t="s">
        <v>2636</v>
      </c>
      <c r="E153" s="27" t="s">
        <v>2633</v>
      </c>
      <c r="F153" s="417">
        <v>-10000</v>
      </c>
    </row>
    <row r="154" spans="1:6" x14ac:dyDescent="0.25">
      <c r="B154" s="4"/>
      <c r="C154" s="582" t="s">
        <v>2639</v>
      </c>
      <c r="D154" s="582" t="s">
        <v>2637</v>
      </c>
      <c r="E154" s="27" t="s">
        <v>2634</v>
      </c>
      <c r="F154" s="417"/>
    </row>
    <row r="155" spans="1:6" ht="22" thickBot="1" x14ac:dyDescent="0.3">
      <c r="B155" s="4"/>
      <c r="C155" s="583" t="s">
        <v>2635</v>
      </c>
      <c r="D155" s="583" t="s">
        <v>2635</v>
      </c>
      <c r="E155" s="375" t="s">
        <v>2635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85">
        <f>FV(C162,C163,C164,C165,C167)</f>
        <v>90931.281681329478</v>
      </c>
      <c r="D166" s="684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83" t="s">
        <v>3127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3128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86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92">
        <f>100000-H191</f>
        <v>18109.900799999989</v>
      </c>
      <c r="J195" s="692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3" t="s">
        <v>421</v>
      </c>
      <c r="B300" s="693"/>
      <c r="C300" s="693"/>
      <c r="D300" s="693"/>
      <c r="E300" s="693"/>
      <c r="F300" s="693"/>
      <c r="G300" s="693"/>
      <c r="H300" s="693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4">
        <f>FV(B452,D451,0,-B450)</f>
        <v>10616.778118644976</v>
      </c>
      <c r="D452" s="694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88">
        <f>C452+B451</f>
        <v>12616.778118644976</v>
      </c>
      <c r="D456" s="688"/>
      <c r="E456" s="1" t="s">
        <v>281</v>
      </c>
      <c r="G456" s="1" t="s">
        <v>520</v>
      </c>
    </row>
    <row r="457" spans="1:10" x14ac:dyDescent="0.25">
      <c r="C457" s="694">
        <f>FV(B452,D455,0,-C456)</f>
        <v>12806.977625880809</v>
      </c>
      <c r="D457" s="694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88">
        <f>C457</f>
        <v>12806.977625880809</v>
      </c>
      <c r="D461" s="688"/>
      <c r="E461" s="1" t="s">
        <v>281</v>
      </c>
      <c r="G461" s="1" t="s">
        <v>523</v>
      </c>
    </row>
    <row r="462" spans="1:10" x14ac:dyDescent="0.25">
      <c r="C462" s="689">
        <f>FV(B453,D460,0,-C461)</f>
        <v>13275.474904595436</v>
      </c>
      <c r="D462" s="690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abSelected="1" topLeftCell="A233" zoomScale="216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5" t="s">
        <v>3130</v>
      </c>
      <c r="B1" s="695"/>
      <c r="C1" s="695"/>
      <c r="D1" s="695"/>
      <c r="E1" s="695"/>
      <c r="F1" s="695"/>
      <c r="G1" s="695"/>
      <c r="H1" s="695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3134</v>
      </c>
      <c r="C35" s="442">
        <v>0.05</v>
      </c>
      <c r="D35" s="43" t="s">
        <v>87</v>
      </c>
      <c r="F35" s="43" t="s">
        <v>3131</v>
      </c>
    </row>
    <row r="36" spans="1:8" x14ac:dyDescent="0.2">
      <c r="A36" s="43" t="s">
        <v>3135</v>
      </c>
      <c r="C36" s="29">
        <v>2</v>
      </c>
      <c r="D36" s="43" t="s">
        <v>89</v>
      </c>
      <c r="F36" s="43" t="s">
        <v>3132</v>
      </c>
    </row>
    <row r="37" spans="1:8" x14ac:dyDescent="0.2">
      <c r="A37" s="43" t="s">
        <v>3137</v>
      </c>
      <c r="C37" s="29">
        <v>0</v>
      </c>
      <c r="D37" s="43" t="s">
        <v>91</v>
      </c>
      <c r="F37" s="43" t="s">
        <v>3133</v>
      </c>
    </row>
    <row r="38" spans="1:8" x14ac:dyDescent="0.2">
      <c r="A38" s="43" t="s">
        <v>3138</v>
      </c>
      <c r="C38" s="721">
        <f>PV(C35,C36,C37,C39)</f>
        <v>-907.02947845804988</v>
      </c>
      <c r="D38" s="43" t="s">
        <v>686</v>
      </c>
    </row>
    <row r="39" spans="1:8" x14ac:dyDescent="0.2">
      <c r="A39" s="43" t="s">
        <v>3136</v>
      </c>
      <c r="C39" s="29">
        <v>1000</v>
      </c>
      <c r="D39" s="43" t="s">
        <v>105</v>
      </c>
      <c r="F39" s="44" t="s">
        <v>3139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3140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3141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B61" s="722"/>
      <c r="C61" s="722"/>
      <c r="D61" s="722"/>
      <c r="E61" s="722"/>
      <c r="F61" s="722"/>
      <c r="G61" s="722"/>
      <c r="H61" s="217"/>
    </row>
    <row r="62" spans="1:8" x14ac:dyDescent="0.2">
      <c r="A62" s="323"/>
      <c r="B62" s="722"/>
      <c r="C62" s="722"/>
      <c r="D62" s="722"/>
      <c r="E62" s="722" t="s">
        <v>3142</v>
      </c>
      <c r="F62" s="722"/>
      <c r="G62" s="722"/>
      <c r="H62" s="217"/>
    </row>
    <row r="63" spans="1:8" x14ac:dyDescent="0.2">
      <c r="A63" s="323"/>
      <c r="B63" s="722"/>
      <c r="C63" s="722"/>
      <c r="D63" s="722"/>
      <c r="E63" s="722"/>
      <c r="F63" s="722"/>
      <c r="G63" s="722"/>
      <c r="H63" s="217"/>
    </row>
    <row r="64" spans="1:8" ht="16" thickBot="1" x14ac:dyDescent="0.25">
      <c r="A64" s="236" t="s">
        <v>3143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3144</v>
      </c>
    </row>
    <row r="68" spans="1:5" x14ac:dyDescent="0.2">
      <c r="A68" s="43" t="s">
        <v>3145</v>
      </c>
    </row>
    <row r="70" spans="1:5" x14ac:dyDescent="0.2">
      <c r="B70" s="54">
        <v>0.02</v>
      </c>
      <c r="C70" s="43" t="s">
        <v>87</v>
      </c>
      <c r="D70" s="43" t="s">
        <v>2611</v>
      </c>
    </row>
    <row r="71" spans="1:5" x14ac:dyDescent="0.2">
      <c r="B71" s="47">
        <v>4</v>
      </c>
      <c r="C71" s="43" t="s">
        <v>89</v>
      </c>
      <c r="D71" s="43" t="s">
        <v>3147</v>
      </c>
    </row>
    <row r="72" spans="1:5" x14ac:dyDescent="0.2">
      <c r="B72" s="47">
        <v>0</v>
      </c>
      <c r="C72" s="43" t="s">
        <v>91</v>
      </c>
      <c r="D72" s="43" t="s">
        <v>3148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3146</v>
      </c>
    </row>
    <row r="75" spans="1:5" x14ac:dyDescent="0.2">
      <c r="B75" s="723" t="s">
        <v>3149</v>
      </c>
      <c r="C75" s="43" t="s">
        <v>95</v>
      </c>
      <c r="D75" s="43" t="s">
        <v>3150</v>
      </c>
    </row>
    <row r="77" spans="1:5" x14ac:dyDescent="0.2">
      <c r="A77" s="43" t="s">
        <v>3151</v>
      </c>
      <c r="E77" s="76"/>
    </row>
    <row r="78" spans="1:5" x14ac:dyDescent="0.2">
      <c r="A78" s="43" t="s">
        <v>3152</v>
      </c>
      <c r="E78" s="76"/>
    </row>
    <row r="80" spans="1:5" x14ac:dyDescent="0.2">
      <c r="A80" s="79" t="s">
        <v>3153</v>
      </c>
    </row>
    <row r="81" spans="1:8" x14ac:dyDescent="0.2">
      <c r="A81" s="291" t="s">
        <v>3154</v>
      </c>
    </row>
    <row r="82" spans="1:8" x14ac:dyDescent="0.2">
      <c r="A82" s="291" t="s">
        <v>3155</v>
      </c>
    </row>
    <row r="83" spans="1:8" x14ac:dyDescent="0.2">
      <c r="A83" s="79"/>
    </row>
    <row r="84" spans="1:8" x14ac:dyDescent="0.2">
      <c r="A84" s="79"/>
      <c r="B84" s="43" t="s">
        <v>3156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3157</v>
      </c>
      <c r="E85" s="76"/>
      <c r="F85" s="55">
        <f>B73</f>
        <v>3695.381704106057</v>
      </c>
      <c r="G85" s="43" t="s">
        <v>3158</v>
      </c>
    </row>
    <row r="86" spans="1:8" x14ac:dyDescent="0.2">
      <c r="A86" s="79"/>
      <c r="E86" s="76"/>
    </row>
    <row r="87" spans="1:8" x14ac:dyDescent="0.2">
      <c r="B87" s="44" t="s">
        <v>3159</v>
      </c>
    </row>
    <row r="88" spans="1:8" ht="16" thickBot="1" x14ac:dyDescent="0.25"/>
    <row r="89" spans="1:8" x14ac:dyDescent="0.2">
      <c r="A89" s="213" t="s">
        <v>3160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3161</v>
      </c>
      <c r="B90" s="722"/>
      <c r="C90" s="722"/>
      <c r="D90" s="722"/>
      <c r="E90" s="722"/>
      <c r="F90" s="722"/>
      <c r="G90" s="722"/>
      <c r="H90" s="217"/>
    </row>
    <row r="91" spans="1:8" x14ac:dyDescent="0.2">
      <c r="A91" s="323"/>
      <c r="B91" s="722" t="s">
        <v>3162</v>
      </c>
      <c r="C91" s="722"/>
      <c r="D91" s="722"/>
      <c r="E91" s="722"/>
      <c r="F91" s="722"/>
      <c r="G91" s="722"/>
      <c r="H91" s="217"/>
    </row>
    <row r="92" spans="1:8" x14ac:dyDescent="0.2">
      <c r="A92" s="323"/>
      <c r="B92" s="722" t="s">
        <v>3163</v>
      </c>
      <c r="C92" s="722"/>
      <c r="D92" s="722"/>
      <c r="E92" s="722"/>
      <c r="F92" s="722"/>
      <c r="G92" s="722"/>
      <c r="H92" s="217"/>
    </row>
    <row r="93" spans="1:8" x14ac:dyDescent="0.2">
      <c r="A93" s="323"/>
      <c r="B93" s="722" t="s">
        <v>3164</v>
      </c>
      <c r="C93" s="722"/>
      <c r="D93" s="722"/>
      <c r="E93" s="722"/>
      <c r="F93" s="722"/>
      <c r="G93" s="722"/>
      <c r="H93" s="217"/>
    </row>
    <row r="94" spans="1:8" x14ac:dyDescent="0.2">
      <c r="A94" s="323"/>
      <c r="B94" s="722"/>
      <c r="C94" s="722"/>
      <c r="D94" s="722"/>
      <c r="E94" s="722"/>
      <c r="F94" s="722"/>
      <c r="G94" s="722"/>
      <c r="H94" s="217"/>
    </row>
    <row r="95" spans="1:8" x14ac:dyDescent="0.2">
      <c r="A95" s="323" t="s">
        <v>3166</v>
      </c>
      <c r="B95" s="722" t="s">
        <v>3165</v>
      </c>
      <c r="C95" s="722"/>
      <c r="D95" s="722"/>
      <c r="E95" s="722"/>
      <c r="F95" s="722"/>
      <c r="G95" s="722"/>
      <c r="H95" s="217"/>
    </row>
    <row r="96" spans="1:8" x14ac:dyDescent="0.2">
      <c r="A96" s="323"/>
      <c r="B96" s="722"/>
      <c r="C96" s="722"/>
      <c r="D96" s="722"/>
      <c r="E96" s="722"/>
      <c r="F96" s="722"/>
      <c r="G96" s="722"/>
      <c r="H96" s="217"/>
    </row>
    <row r="97" spans="1:8" x14ac:dyDescent="0.2">
      <c r="A97" s="323" t="s">
        <v>3166</v>
      </c>
      <c r="B97" s="722" t="s">
        <v>3167</v>
      </c>
      <c r="C97" s="722"/>
      <c r="D97" s="722"/>
      <c r="E97" s="722"/>
      <c r="F97" s="722"/>
      <c r="G97" s="722"/>
      <c r="H97" s="217"/>
    </row>
    <row r="98" spans="1:8" ht="16" thickBot="1" x14ac:dyDescent="0.25">
      <c r="A98" s="236"/>
      <c r="B98" s="219"/>
      <c r="C98" s="219"/>
      <c r="D98" s="219" t="s">
        <v>3168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3169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3171</v>
      </c>
      <c r="J123" s="43" t="s">
        <v>3170</v>
      </c>
    </row>
    <row r="125" spans="1:10" x14ac:dyDescent="0.2">
      <c r="A125" s="44" t="s">
        <v>721</v>
      </c>
    </row>
    <row r="126" spans="1:10" x14ac:dyDescent="0.2">
      <c r="A126" s="43" t="s">
        <v>3172</v>
      </c>
    </row>
    <row r="127" spans="1:10" x14ac:dyDescent="0.2">
      <c r="A127" s="43" t="s">
        <v>3173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3174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3175</v>
      </c>
    </row>
    <row r="154" spans="1:8" x14ac:dyDescent="0.2">
      <c r="A154" s="81">
        <v>3</v>
      </c>
      <c r="B154" s="81"/>
      <c r="D154" s="43" t="s">
        <v>3176</v>
      </c>
    </row>
    <row r="155" spans="1:8" x14ac:dyDescent="0.2">
      <c r="A155" s="82" t="s">
        <v>736</v>
      </c>
      <c r="B155" s="81">
        <v>40068</v>
      </c>
      <c r="D155" s="43" t="s">
        <v>3177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724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3178</v>
      </c>
    </row>
    <row r="170" spans="1:7" x14ac:dyDescent="0.2">
      <c r="C170" s="47">
        <f>-B153</f>
        <v>-36000</v>
      </c>
      <c r="D170" s="43" t="s">
        <v>281</v>
      </c>
      <c r="E170" s="43" t="s">
        <v>3180</v>
      </c>
    </row>
    <row r="171" spans="1:7" x14ac:dyDescent="0.2">
      <c r="C171" s="47">
        <f>B155</f>
        <v>40068</v>
      </c>
      <c r="D171" s="43" t="s">
        <v>105</v>
      </c>
      <c r="E171" s="43" t="s">
        <v>3179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3181</v>
      </c>
      <c r="C183" s="47"/>
    </row>
    <row r="185" spans="1:8" x14ac:dyDescent="0.2">
      <c r="A185" s="45" t="s">
        <v>3182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3183</v>
      </c>
    </row>
    <row r="187" spans="1:8" x14ac:dyDescent="0.2">
      <c r="A187" s="43" t="s">
        <v>3184</v>
      </c>
    </row>
    <row r="188" spans="1:8" x14ac:dyDescent="0.2">
      <c r="A188" s="43" t="s">
        <v>3185</v>
      </c>
    </row>
    <row r="190" spans="1:8" x14ac:dyDescent="0.2">
      <c r="D190" s="725" t="s">
        <v>3190</v>
      </c>
      <c r="E190" s="725" t="s">
        <v>3186</v>
      </c>
    </row>
    <row r="191" spans="1:8" x14ac:dyDescent="0.2">
      <c r="D191" s="725" t="s">
        <v>3191</v>
      </c>
      <c r="E191" s="725" t="s">
        <v>3187</v>
      </c>
    </row>
    <row r="192" spans="1:8" x14ac:dyDescent="0.2">
      <c r="D192" s="725" t="s">
        <v>3192</v>
      </c>
      <c r="E192" s="725" t="s">
        <v>3188</v>
      </c>
    </row>
    <row r="193" spans="1:8" x14ac:dyDescent="0.2">
      <c r="D193" s="49" t="s">
        <v>3193</v>
      </c>
      <c r="E193" s="49" t="s">
        <v>3189</v>
      </c>
    </row>
    <row r="194" spans="1:8" x14ac:dyDescent="0.2">
      <c r="D194" s="726">
        <f>E194</f>
        <v>8.4109719968686047E-2</v>
      </c>
      <c r="E194" s="726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3194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3195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3129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1" zoomScale="125" zoomScaleNormal="330" workbookViewId="0">
      <selection activeCell="H53" sqref="H53"/>
    </sheetView>
  </sheetViews>
  <sheetFormatPr baseColWidth="10" defaultColWidth="11.5" defaultRowHeight="15" x14ac:dyDescent="0.2"/>
  <sheetData>
    <row r="1" spans="1:8" s="43" customFormat="1" ht="18" x14ac:dyDescent="0.2">
      <c r="A1" s="704" t="s">
        <v>2640</v>
      </c>
      <c r="B1" s="704"/>
      <c r="C1" s="704"/>
      <c r="D1" s="704"/>
      <c r="E1" s="704"/>
      <c r="F1" s="704"/>
      <c r="G1" s="704"/>
      <c r="H1" s="704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2641</v>
      </c>
      <c r="D7" s="94"/>
      <c r="E7" s="94"/>
      <c r="F7" s="94"/>
      <c r="G7" s="94"/>
      <c r="H7" s="94" t="s">
        <v>2642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6" s="92" customFormat="1" ht="16" x14ac:dyDescent="0.2">
      <c r="A17" s="92" t="s">
        <v>801</v>
      </c>
    </row>
    <row r="18" spans="1:6" s="92" customFormat="1" ht="16" x14ac:dyDescent="0.2"/>
    <row r="19" spans="1:6" s="92" customFormat="1" ht="16" x14ac:dyDescent="0.2">
      <c r="A19" s="92" t="s">
        <v>802</v>
      </c>
      <c r="D19" s="462"/>
      <c r="E19" s="92" t="s">
        <v>87</v>
      </c>
    </row>
    <row r="20" spans="1:6" s="92" customFormat="1" ht="16" x14ac:dyDescent="0.2">
      <c r="A20" s="92" t="s">
        <v>803</v>
      </c>
      <c r="D20" s="463"/>
      <c r="E20" s="92" t="s">
        <v>89</v>
      </c>
    </row>
    <row r="21" spans="1:6" s="92" customFormat="1" ht="16" x14ac:dyDescent="0.2">
      <c r="A21" s="92" t="s">
        <v>804</v>
      </c>
      <c r="D21" s="463"/>
      <c r="E21" s="92" t="s">
        <v>91</v>
      </c>
    </row>
    <row r="22" spans="1:6" s="92" customFormat="1" ht="16" x14ac:dyDescent="0.2">
      <c r="A22" s="92" t="s">
        <v>2643</v>
      </c>
      <c r="D22" s="585"/>
      <c r="E22" s="92" t="s">
        <v>281</v>
      </c>
    </row>
    <row r="23" spans="1:6" s="92" customFormat="1" ht="16" x14ac:dyDescent="0.2">
      <c r="A23" s="92" t="s">
        <v>805</v>
      </c>
      <c r="D23" s="463"/>
      <c r="E23" s="92" t="s">
        <v>105</v>
      </c>
    </row>
    <row r="24" spans="1:6" s="92" customFormat="1" ht="21" x14ac:dyDescent="0.25">
      <c r="A24" s="92" t="s">
        <v>806</v>
      </c>
      <c r="D24" s="25"/>
      <c r="E24" s="92" t="s">
        <v>328</v>
      </c>
      <c r="F24" s="92" t="s">
        <v>2644</v>
      </c>
    </row>
    <row r="25" spans="1:6" s="92" customFormat="1" ht="16" x14ac:dyDescent="0.2">
      <c r="D25" s="105"/>
    </row>
    <row r="26" spans="1:6" s="92" customFormat="1" ht="16" x14ac:dyDescent="0.2">
      <c r="A26" s="92" t="s">
        <v>2645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696</v>
      </c>
      <c r="D28" s="104"/>
      <c r="E28" s="92" t="s">
        <v>87</v>
      </c>
    </row>
    <row r="29" spans="1:6" s="92" customFormat="1" ht="16" x14ac:dyDescent="0.2">
      <c r="D29" s="105"/>
      <c r="E29" s="92" t="s">
        <v>89</v>
      </c>
    </row>
    <row r="30" spans="1:6" s="92" customFormat="1" ht="16" x14ac:dyDescent="0.2">
      <c r="D30" s="105"/>
      <c r="E30" s="92" t="s">
        <v>91</v>
      </c>
      <c r="F30" s="92" t="s">
        <v>2647</v>
      </c>
    </row>
    <row r="31" spans="1:6" s="92" customFormat="1" ht="16" x14ac:dyDescent="0.2">
      <c r="D31" s="106"/>
      <c r="E31" s="92" t="s">
        <v>281</v>
      </c>
      <c r="F31" s="92" t="s">
        <v>2646</v>
      </c>
    </row>
    <row r="32" spans="1:6" s="92" customFormat="1" ht="16" x14ac:dyDescent="0.2">
      <c r="D32" s="105"/>
      <c r="E32" s="92" t="s">
        <v>105</v>
      </c>
      <c r="F32" s="92" t="s">
        <v>2648</v>
      </c>
    </row>
    <row r="33" spans="1:8" s="92" customFormat="1" ht="23" x14ac:dyDescent="0.25">
      <c r="A33" s="92" t="s">
        <v>807</v>
      </c>
      <c r="D33" s="586"/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2649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2650</v>
      </c>
      <c r="B41" s="587"/>
      <c r="C41" s="587"/>
      <c r="D41" s="587"/>
      <c r="E41" s="587"/>
      <c r="F41" s="588"/>
    </row>
    <row r="42" spans="1:8" s="92" customFormat="1" ht="17" thickBot="1" x14ac:dyDescent="0.25">
      <c r="A42" s="500" t="s">
        <v>812</v>
      </c>
      <c r="B42" s="589"/>
      <c r="C42" s="589"/>
      <c r="D42" s="589"/>
      <c r="E42" s="589"/>
      <c r="F42" s="590"/>
    </row>
    <row r="43" spans="1:8" s="92" customFormat="1" ht="16" x14ac:dyDescent="0.2"/>
    <row r="44" spans="1:8" s="92" customFormat="1" ht="16" x14ac:dyDescent="0.2">
      <c r="A44" s="92" t="s">
        <v>2651</v>
      </c>
      <c r="D44" s="468"/>
      <c r="E44" s="92" t="s">
        <v>87</v>
      </c>
    </row>
    <row r="45" spans="1:8" s="92" customFormat="1" ht="16" x14ac:dyDescent="0.2">
      <c r="A45" s="92" t="s">
        <v>813</v>
      </c>
      <c r="D45" s="463"/>
      <c r="E45" s="92" t="s">
        <v>89</v>
      </c>
      <c r="F45" s="92" t="s">
        <v>2652</v>
      </c>
    </row>
    <row r="46" spans="1:8" s="92" customFormat="1" ht="16" x14ac:dyDescent="0.2">
      <c r="D46" s="463"/>
      <c r="E46" s="307" t="s">
        <v>91</v>
      </c>
    </row>
    <row r="47" spans="1:8" s="92" customFormat="1" ht="16" x14ac:dyDescent="0.2">
      <c r="A47" s="92" t="s">
        <v>814</v>
      </c>
      <c r="D47" s="585"/>
      <c r="E47" s="92" t="s">
        <v>281</v>
      </c>
    </row>
    <row r="48" spans="1:8" s="92" customFormat="1" ht="16" x14ac:dyDescent="0.2">
      <c r="A48" s="307"/>
      <c r="B48" s="307"/>
      <c r="C48" s="307"/>
      <c r="D48" s="463"/>
      <c r="E48" s="92" t="s">
        <v>105</v>
      </c>
    </row>
    <row r="49" spans="1:8" s="92" customFormat="1" ht="16" x14ac:dyDescent="0.2">
      <c r="A49" s="307"/>
      <c r="B49" s="307"/>
      <c r="C49" s="307"/>
      <c r="D49" s="463"/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2653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2654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696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697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697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698"/>
    </row>
    <row r="75" spans="1:8" s="92" customFormat="1" ht="17" thickBot="1" x14ac:dyDescent="0.25">
      <c r="A75" s="105">
        <v>8</v>
      </c>
      <c r="B75" s="465">
        <v>200000</v>
      </c>
      <c r="C75" s="699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00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00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00"/>
    </row>
    <row r="79" spans="1:8" s="92" customFormat="1" ht="17" thickBot="1" x14ac:dyDescent="0.25">
      <c r="A79" s="105">
        <v>37</v>
      </c>
      <c r="B79" s="461">
        <v>200000</v>
      </c>
      <c r="C79" s="701"/>
      <c r="E79" s="95" t="s">
        <v>839</v>
      </c>
      <c r="F79" s="587"/>
      <c r="G79" s="587"/>
      <c r="H79" s="588"/>
    </row>
    <row r="80" spans="1:8" s="92" customFormat="1" ht="17" thickBot="1" x14ac:dyDescent="0.25">
      <c r="E80" s="500" t="s">
        <v>840</v>
      </c>
      <c r="F80" s="589"/>
      <c r="G80" s="589"/>
      <c r="H80" s="590"/>
    </row>
    <row r="81" spans="1:8" s="92" customFormat="1" ht="16" x14ac:dyDescent="0.2">
      <c r="B81" s="592" t="s">
        <v>771</v>
      </c>
      <c r="C81" s="142" t="s">
        <v>772</v>
      </c>
    </row>
    <row r="82" spans="1:8" s="92" customFormat="1" ht="16" x14ac:dyDescent="0.2">
      <c r="B82" s="592" t="s">
        <v>841</v>
      </c>
      <c r="C82" s="142" t="s">
        <v>841</v>
      </c>
      <c r="F82" s="92" t="s">
        <v>842</v>
      </c>
    </row>
    <row r="83" spans="1:8" s="92" customFormat="1" ht="16" x14ac:dyDescent="0.2">
      <c r="B83" s="593" t="s">
        <v>843</v>
      </c>
      <c r="C83" s="591" t="s">
        <v>844</v>
      </c>
      <c r="F83" s="92" t="s">
        <v>845</v>
      </c>
    </row>
    <row r="84" spans="1:8" s="92" customFormat="1" ht="16" x14ac:dyDescent="0.2">
      <c r="B84" s="462"/>
      <c r="C84" s="462"/>
      <c r="D84" s="92" t="s">
        <v>87</v>
      </c>
      <c r="F84" s="92" t="s">
        <v>846</v>
      </c>
    </row>
    <row r="85" spans="1:8" s="92" customFormat="1" ht="16" x14ac:dyDescent="0.2">
      <c r="B85" s="463"/>
      <c r="C85" s="463"/>
      <c r="D85" s="92" t="s">
        <v>89</v>
      </c>
      <c r="F85" s="92" t="s">
        <v>847</v>
      </c>
    </row>
    <row r="86" spans="1:8" s="92" customFormat="1" ht="16" x14ac:dyDescent="0.2">
      <c r="B86" s="464"/>
      <c r="C86" s="464"/>
      <c r="D86" s="92" t="s">
        <v>91</v>
      </c>
      <c r="F86" s="92" t="s">
        <v>848</v>
      </c>
    </row>
    <row r="87" spans="1:8" s="92" customFormat="1" ht="16" x14ac:dyDescent="0.2">
      <c r="B87" s="466"/>
      <c r="C87" s="461"/>
      <c r="D87" s="92" t="s">
        <v>281</v>
      </c>
      <c r="F87" s="92" t="s">
        <v>849</v>
      </c>
    </row>
    <row r="88" spans="1:8" s="92" customFormat="1" ht="16" x14ac:dyDescent="0.2">
      <c r="B88" s="461"/>
      <c r="C88" s="463"/>
      <c r="D88" s="92" t="s">
        <v>105</v>
      </c>
      <c r="F88" s="92" t="s">
        <v>850</v>
      </c>
    </row>
    <row r="89" spans="1:8" s="92" customFormat="1" ht="16" x14ac:dyDescent="0.2">
      <c r="B89" s="463"/>
      <c r="C89" s="463"/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5" t="s">
        <v>771</v>
      </c>
      <c r="E108" s="591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4" t="s">
        <v>2655</v>
      </c>
      <c r="D109" s="468">
        <f>E109</f>
        <v>7.0000000000000001E-3</v>
      </c>
      <c r="E109" s="468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4" t="s">
        <v>2656</v>
      </c>
      <c r="D110" s="463">
        <v>23</v>
      </c>
      <c r="E110" s="463">
        <v>144</v>
      </c>
      <c r="F110" s="92" t="s">
        <v>89</v>
      </c>
      <c r="H110" s="470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4" t="s">
        <v>2657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7">
        <v>167</v>
      </c>
      <c r="B112" s="113">
        <f>B111</f>
        <v>50000</v>
      </c>
      <c r="C112" s="594" t="s">
        <v>2658</v>
      </c>
      <c r="D112" s="469">
        <f>PV(D109,D110,D111,D113,D114)</f>
        <v>-3855888.5862081484</v>
      </c>
      <c r="E112" s="461">
        <f>PV(E109,E110,E111,E113,E114)</f>
        <v>-4526914.5772060025</v>
      </c>
      <c r="F112" s="92" t="s">
        <v>281</v>
      </c>
    </row>
    <row r="113" spans="1:11" s="92" customFormat="1" ht="16" x14ac:dyDescent="0.2">
      <c r="A113" s="467"/>
      <c r="B113" s="467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872</v>
      </c>
      <c r="C116" s="94"/>
      <c r="D116" s="94"/>
      <c r="E116" s="94"/>
      <c r="F116" s="94"/>
      <c r="G116" s="94"/>
      <c r="H116" s="94"/>
      <c r="I116" s="110" t="s">
        <v>873</v>
      </c>
      <c r="J116" s="110" t="s">
        <v>874</v>
      </c>
      <c r="K116" s="110" t="s">
        <v>875</v>
      </c>
    </row>
    <row r="117" spans="1:11" s="92" customFormat="1" ht="16" x14ac:dyDescent="0.2">
      <c r="A117" s="92" t="s">
        <v>876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877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878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2659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879</v>
      </c>
      <c r="I121" s="105" t="s">
        <v>566</v>
      </c>
      <c r="J121" s="105">
        <v>0</v>
      </c>
      <c r="K121" s="105">
        <v>0</v>
      </c>
    </row>
    <row r="122" spans="1:11" s="92" customFormat="1" ht="17" thickBot="1" x14ac:dyDescent="0.25">
      <c r="A122" s="92" t="s">
        <v>880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471">
        <v>50</v>
      </c>
      <c r="J123" s="472">
        <v>5000</v>
      </c>
      <c r="K123" s="596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597">
        <v>500</v>
      </c>
    </row>
    <row r="125" spans="1:11" s="92" customFormat="1" ht="16" x14ac:dyDescent="0.2">
      <c r="I125" s="142">
        <f>I124+1</f>
        <v>52</v>
      </c>
      <c r="J125" s="133"/>
      <c r="K125" s="597">
        <f>K124</f>
        <v>500</v>
      </c>
    </row>
    <row r="126" spans="1:11" s="92" customFormat="1" ht="16" x14ac:dyDescent="0.2">
      <c r="A126" s="92" t="s">
        <v>881</v>
      </c>
      <c r="I126" s="142" t="s">
        <v>566</v>
      </c>
      <c r="J126" s="133"/>
      <c r="K126" s="597">
        <f t="shared" ref="K126:K128" si="0">K125</f>
        <v>500</v>
      </c>
    </row>
    <row r="127" spans="1:11" s="92" customFormat="1" ht="16" x14ac:dyDescent="0.2">
      <c r="A127" s="92" t="s">
        <v>882</v>
      </c>
      <c r="I127" s="142" t="s">
        <v>566</v>
      </c>
      <c r="J127" s="133"/>
      <c r="K127" s="597">
        <f t="shared" si="0"/>
        <v>500</v>
      </c>
    </row>
    <row r="128" spans="1:11" s="92" customFormat="1" ht="17" thickBot="1" x14ac:dyDescent="0.25">
      <c r="A128" s="92" t="s">
        <v>883</v>
      </c>
      <c r="I128" s="142">
        <v>61</v>
      </c>
      <c r="J128" s="133"/>
      <c r="K128" s="598">
        <f t="shared" si="0"/>
        <v>500</v>
      </c>
    </row>
    <row r="129" spans="1:11" s="92" customFormat="1" ht="16" x14ac:dyDescent="0.2">
      <c r="A129" s="92" t="s">
        <v>884</v>
      </c>
      <c r="B129" s="92" t="s">
        <v>885</v>
      </c>
    </row>
    <row r="130" spans="1:11" s="92" customFormat="1" ht="16" x14ac:dyDescent="0.2">
      <c r="B130" s="92" t="s">
        <v>886</v>
      </c>
    </row>
    <row r="131" spans="1:11" s="92" customFormat="1" ht="16" x14ac:dyDescent="0.2">
      <c r="B131" s="92" t="s">
        <v>887</v>
      </c>
    </row>
    <row r="132" spans="1:11" s="92" customFormat="1" ht="16" x14ac:dyDescent="0.2">
      <c r="B132" s="92" t="s">
        <v>888</v>
      </c>
    </row>
    <row r="133" spans="1:11" s="92" customFormat="1" ht="16" x14ac:dyDescent="0.2"/>
    <row r="134" spans="1:11" s="92" customFormat="1" ht="16" x14ac:dyDescent="0.2">
      <c r="F134" s="705" t="s">
        <v>889</v>
      </c>
      <c r="G134" s="705"/>
      <c r="H134" s="705"/>
      <c r="I134" s="705"/>
      <c r="J134" s="110" t="s">
        <v>890</v>
      </c>
    </row>
    <row r="135" spans="1:11" s="92" customFormat="1" ht="16" x14ac:dyDescent="0.2">
      <c r="F135" s="108">
        <f>J135</f>
        <v>1E-3</v>
      </c>
      <c r="I135" s="468"/>
      <c r="J135" s="468">
        <v>1E-3</v>
      </c>
      <c r="K135" s="92" t="s">
        <v>87</v>
      </c>
    </row>
    <row r="136" spans="1:11" s="92" customFormat="1" ht="16" x14ac:dyDescent="0.2">
      <c r="F136" s="105">
        <v>50</v>
      </c>
      <c r="I136" s="463"/>
      <c r="J136" s="463">
        <v>11</v>
      </c>
      <c r="K136" s="92" t="s">
        <v>89</v>
      </c>
    </row>
    <row r="137" spans="1:11" s="92" customFormat="1" ht="16" x14ac:dyDescent="0.2">
      <c r="F137" s="105">
        <v>0</v>
      </c>
      <c r="I137" s="464"/>
      <c r="J137" s="461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891</v>
      </c>
      <c r="F138" s="474">
        <f>PMT(F135,F136,F137,F139,F140)</f>
        <v>-214.01460361805181</v>
      </c>
      <c r="I138" s="464"/>
      <c r="J138" s="464">
        <f>K124</f>
        <v>500</v>
      </c>
      <c r="K138" s="92" t="s">
        <v>91</v>
      </c>
    </row>
    <row r="139" spans="1:11" s="92" customFormat="1" ht="16" x14ac:dyDescent="0.2">
      <c r="B139" s="92" t="s">
        <v>892</v>
      </c>
      <c r="F139" s="472">
        <f>I139+5500</f>
        <v>10967.142500996748</v>
      </c>
      <c r="H139" s="92" t="s">
        <v>893</v>
      </c>
      <c r="I139" s="464">
        <f>-J137</f>
        <v>5467.1425009967479</v>
      </c>
      <c r="J139" s="463">
        <v>0</v>
      </c>
      <c r="K139" s="92" t="s">
        <v>105</v>
      </c>
    </row>
    <row r="140" spans="1:11" s="92" customFormat="1" ht="16" x14ac:dyDescent="0.2">
      <c r="B140" s="92" t="s">
        <v>894</v>
      </c>
      <c r="F140" s="105">
        <v>0</v>
      </c>
      <c r="I140" s="463"/>
      <c r="J140" s="463">
        <v>0</v>
      </c>
      <c r="K140" s="92" t="s">
        <v>328</v>
      </c>
    </row>
    <row r="141" spans="1:11" s="92" customFormat="1" ht="16" x14ac:dyDescent="0.2"/>
    <row r="142" spans="1:11" s="92" customFormat="1" ht="16" x14ac:dyDescent="0.2">
      <c r="B142" s="93" t="s">
        <v>895</v>
      </c>
    </row>
    <row r="143" spans="1:11" s="92" customFormat="1" ht="16" x14ac:dyDescent="0.2">
      <c r="B143" s="93" t="s">
        <v>896</v>
      </c>
    </row>
    <row r="144" spans="1:11" s="92" customFormat="1" ht="16" x14ac:dyDescent="0.2"/>
    <row r="145" spans="1:11" s="92" customFormat="1" ht="16" x14ac:dyDescent="0.2">
      <c r="F145" s="705" t="s">
        <v>889</v>
      </c>
      <c r="G145" s="705"/>
      <c r="H145" s="705"/>
      <c r="I145" s="705"/>
      <c r="J145" s="110" t="s">
        <v>890</v>
      </c>
    </row>
    <row r="146" spans="1:11" s="92" customFormat="1" ht="16" x14ac:dyDescent="0.2">
      <c r="F146" s="108">
        <v>1E-3</v>
      </c>
      <c r="I146" s="468"/>
      <c r="J146" s="468">
        <v>1E-3</v>
      </c>
      <c r="K146" s="92" t="s">
        <v>87</v>
      </c>
    </row>
    <row r="147" spans="1:11" s="92" customFormat="1" ht="21" x14ac:dyDescent="0.25">
      <c r="F147" s="105">
        <v>50</v>
      </c>
      <c r="I147" s="463"/>
      <c r="J147" s="433">
        <v>12</v>
      </c>
      <c r="K147" s="92" t="s">
        <v>89</v>
      </c>
    </row>
    <row r="148" spans="1:11" s="92" customFormat="1" ht="16" x14ac:dyDescent="0.2">
      <c r="F148" s="105">
        <v>0</v>
      </c>
      <c r="I148" s="464"/>
      <c r="J148" s="461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891</v>
      </c>
      <c r="F149" s="474">
        <f>PMT(F146,F147,F148,F150,F151)</f>
        <v>-214.01460361805181</v>
      </c>
      <c r="I149" s="464"/>
      <c r="J149" s="464">
        <v>500</v>
      </c>
      <c r="K149" s="92" t="s">
        <v>91</v>
      </c>
    </row>
    <row r="150" spans="1:11" s="92" customFormat="1" ht="16" x14ac:dyDescent="0.2">
      <c r="B150" s="92" t="s">
        <v>892</v>
      </c>
      <c r="F150" s="472">
        <f>F139</f>
        <v>10967.142500996748</v>
      </c>
      <c r="H150" s="92" t="s">
        <v>897</v>
      </c>
      <c r="I150" s="464">
        <f>-J148</f>
        <v>5967.142500996717</v>
      </c>
      <c r="J150" s="463">
        <v>0</v>
      </c>
      <c r="K150" s="92" t="s">
        <v>105</v>
      </c>
    </row>
    <row r="151" spans="1:11" s="92" customFormat="1" ht="21" x14ac:dyDescent="0.25">
      <c r="B151" s="92" t="s">
        <v>894</v>
      </c>
      <c r="F151" s="105">
        <v>0</v>
      </c>
      <c r="I151" s="463"/>
      <c r="J151" s="433">
        <v>1</v>
      </c>
      <c r="K151" s="92" t="s">
        <v>328</v>
      </c>
    </row>
    <row r="152" spans="1:11" s="92" customFormat="1" ht="16" x14ac:dyDescent="0.2"/>
    <row r="153" spans="1:11" s="92" customFormat="1" ht="16" x14ac:dyDescent="0.2">
      <c r="A153" s="92" t="s">
        <v>2666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2660</v>
      </c>
      <c r="H157" s="92" t="s">
        <v>920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2661</v>
      </c>
      <c r="H162" s="92" t="s">
        <v>2663</v>
      </c>
    </row>
    <row r="163" spans="1:8" s="92" customFormat="1" ht="16" x14ac:dyDescent="0.2">
      <c r="F163" s="92" t="s">
        <v>2662</v>
      </c>
      <c r="H163" s="92" t="s">
        <v>2664</v>
      </c>
    </row>
    <row r="164" spans="1:8" s="92" customFormat="1" ht="16" x14ac:dyDescent="0.2">
      <c r="H164" s="92" t="s">
        <v>2665</v>
      </c>
    </row>
    <row r="165" spans="1:8" s="92" customFormat="1" ht="17" thickBot="1" x14ac:dyDescent="0.25"/>
    <row r="166" spans="1:8" s="92" customFormat="1" ht="16" x14ac:dyDescent="0.2">
      <c r="A166" s="95" t="s">
        <v>2667</v>
      </c>
      <c r="B166" s="587"/>
      <c r="C166" s="587"/>
      <c r="D166" s="587"/>
      <c r="E166" s="587"/>
      <c r="F166" s="588"/>
    </row>
    <row r="167" spans="1:8" s="92" customFormat="1" ht="16" x14ac:dyDescent="0.2">
      <c r="A167" s="499" t="s">
        <v>2668</v>
      </c>
      <c r="B167" s="93"/>
      <c r="C167" s="93"/>
      <c r="D167" s="93"/>
      <c r="E167" s="93"/>
      <c r="F167" s="599"/>
    </row>
    <row r="168" spans="1:8" s="92" customFormat="1" ht="16" x14ac:dyDescent="0.2">
      <c r="A168" s="499"/>
      <c r="B168" s="93" t="s">
        <v>2669</v>
      </c>
      <c r="C168" s="93"/>
      <c r="D168" s="93"/>
      <c r="E168" s="93"/>
      <c r="F168" s="599"/>
    </row>
    <row r="169" spans="1:8" s="92" customFormat="1" ht="16" x14ac:dyDescent="0.2">
      <c r="A169" s="499"/>
      <c r="B169" s="93" t="s">
        <v>2670</v>
      </c>
      <c r="C169" s="93"/>
      <c r="D169" s="93"/>
      <c r="E169" s="93"/>
      <c r="F169" s="599"/>
    </row>
    <row r="170" spans="1:8" s="92" customFormat="1" ht="17" thickBot="1" x14ac:dyDescent="0.25">
      <c r="A170" s="500"/>
      <c r="B170" s="589" t="s">
        <v>2671</v>
      </c>
      <c r="C170" s="589"/>
      <c r="D170" s="589"/>
      <c r="E170" s="589"/>
      <c r="F170" s="590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898</v>
      </c>
      <c r="B175" s="94" t="s">
        <v>899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900</v>
      </c>
    </row>
    <row r="178" spans="1:9" s="92" customFormat="1" ht="16" x14ac:dyDescent="0.2">
      <c r="A178" s="92" t="s">
        <v>901</v>
      </c>
    </row>
    <row r="179" spans="1:9" s="92" customFormat="1" ht="16" x14ac:dyDescent="0.2">
      <c r="A179" s="92" t="s">
        <v>902</v>
      </c>
    </row>
    <row r="180" spans="1:9" s="92" customFormat="1" ht="16" x14ac:dyDescent="0.2"/>
    <row r="181" spans="1:9" s="92" customFormat="1" ht="16" x14ac:dyDescent="0.2">
      <c r="A181" s="92" t="s">
        <v>903</v>
      </c>
    </row>
    <row r="182" spans="1:9" s="92" customFormat="1" ht="16" x14ac:dyDescent="0.2"/>
    <row r="183" spans="1:9" s="92" customFormat="1" ht="16" x14ac:dyDescent="0.2">
      <c r="A183" s="110" t="s">
        <v>904</v>
      </c>
      <c r="B183" s="110" t="s">
        <v>905</v>
      </c>
      <c r="C183" s="111" t="s">
        <v>906</v>
      </c>
      <c r="F183" s="105" t="s">
        <v>907</v>
      </c>
      <c r="G183" s="105" t="s">
        <v>908</v>
      </c>
      <c r="H183" s="105" t="s">
        <v>909</v>
      </c>
    </row>
    <row r="184" spans="1:9" s="92" customFormat="1" ht="16" x14ac:dyDescent="0.2">
      <c r="A184" s="105">
        <v>0</v>
      </c>
      <c r="B184" s="105"/>
      <c r="C184" s="473"/>
      <c r="F184" s="105" t="s">
        <v>910</v>
      </c>
      <c r="G184" s="105" t="s">
        <v>911</v>
      </c>
      <c r="H184" s="105" t="s">
        <v>912</v>
      </c>
    </row>
    <row r="185" spans="1:9" s="92" customFormat="1" ht="16" x14ac:dyDescent="0.2">
      <c r="A185" s="105">
        <v>1</v>
      </c>
      <c r="B185" s="105"/>
      <c r="C185" s="473"/>
      <c r="F185" s="105" t="s">
        <v>913</v>
      </c>
      <c r="G185" s="105" t="s">
        <v>914</v>
      </c>
      <c r="H185" s="105" t="s">
        <v>915</v>
      </c>
    </row>
    <row r="186" spans="1:9" s="92" customFormat="1" ht="16" x14ac:dyDescent="0.2">
      <c r="A186" s="105">
        <v>2</v>
      </c>
      <c r="B186" s="105"/>
      <c r="C186" s="473"/>
      <c r="E186" s="92" t="s">
        <v>916</v>
      </c>
      <c r="F186" s="110" t="s">
        <v>917</v>
      </c>
      <c r="G186" s="110" t="s">
        <v>918</v>
      </c>
      <c r="H186" s="110" t="s">
        <v>919</v>
      </c>
    </row>
    <row r="187" spans="1:9" s="92" customFormat="1" ht="16" x14ac:dyDescent="0.2">
      <c r="A187" s="105" t="s">
        <v>566</v>
      </c>
      <c r="B187" s="105"/>
      <c r="C187" s="473"/>
      <c r="E187" s="92" t="s">
        <v>920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566</v>
      </c>
      <c r="B188" s="105"/>
      <c r="C188" s="473"/>
      <c r="E188" s="92" t="s">
        <v>921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76">
        <v>10000</v>
      </c>
      <c r="C189" s="475">
        <v>800</v>
      </c>
      <c r="E189" s="92" t="s">
        <v>922</v>
      </c>
      <c r="F189" s="105">
        <v>0</v>
      </c>
      <c r="G189" s="105"/>
      <c r="H189" s="461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923</v>
      </c>
      <c r="F190" s="474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566</v>
      </c>
      <c r="B191" s="142"/>
      <c r="C191" s="142">
        <f>C190</f>
        <v>800</v>
      </c>
      <c r="F191" s="112">
        <f>-H189+B189+C189</f>
        <v>19341.621381720168</v>
      </c>
      <c r="G191" s="471" t="s">
        <v>924</v>
      </c>
      <c r="H191" s="105">
        <v>0</v>
      </c>
      <c r="I191" s="92" t="s">
        <v>105</v>
      </c>
    </row>
    <row r="192" spans="1:9" s="92" customFormat="1" ht="16" x14ac:dyDescent="0.2">
      <c r="A192" s="105" t="s">
        <v>566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328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907</v>
      </c>
      <c r="G194" s="105" t="s">
        <v>908</v>
      </c>
      <c r="H194" s="105" t="s">
        <v>909</v>
      </c>
    </row>
    <row r="195" spans="1:9" s="92" customFormat="1" ht="16" x14ac:dyDescent="0.2">
      <c r="F195" s="105" t="s">
        <v>910</v>
      </c>
      <c r="G195" s="105" t="s">
        <v>911</v>
      </c>
      <c r="H195" s="105" t="s">
        <v>912</v>
      </c>
    </row>
    <row r="196" spans="1:9" s="92" customFormat="1" ht="16" x14ac:dyDescent="0.2">
      <c r="F196" s="105" t="s">
        <v>913</v>
      </c>
      <c r="G196" s="105" t="s">
        <v>914</v>
      </c>
      <c r="H196" s="105" t="s">
        <v>915</v>
      </c>
    </row>
    <row r="197" spans="1:9" s="92" customFormat="1" ht="16" x14ac:dyDescent="0.2">
      <c r="E197" s="92" t="s">
        <v>925</v>
      </c>
      <c r="F197" s="110" t="s">
        <v>917</v>
      </c>
      <c r="G197" s="110" t="s">
        <v>918</v>
      </c>
      <c r="H197" s="110" t="s">
        <v>919</v>
      </c>
    </row>
    <row r="198" spans="1:9" s="92" customFormat="1" ht="16" x14ac:dyDescent="0.2">
      <c r="E198" s="92" t="s">
        <v>926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927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928</v>
      </c>
      <c r="F200" s="105">
        <v>0</v>
      </c>
      <c r="G200" s="105"/>
      <c r="H200" s="461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929</v>
      </c>
      <c r="F201" s="474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1" t="s">
        <v>930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328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729</v>
      </c>
      <c r="B209" s="94" t="s">
        <v>808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931</v>
      </c>
    </row>
    <row r="211" spans="1:8" s="92" customFormat="1" ht="16" x14ac:dyDescent="0.2">
      <c r="A211" s="92" t="s">
        <v>932</v>
      </c>
    </row>
    <row r="212" spans="1:8" s="92" customFormat="1" ht="16" x14ac:dyDescent="0.2">
      <c r="A212" s="92" t="s">
        <v>933</v>
      </c>
    </row>
    <row r="213" spans="1:8" s="92" customFormat="1" ht="16" x14ac:dyDescent="0.2">
      <c r="A213" s="92" t="s">
        <v>934</v>
      </c>
    </row>
    <row r="214" spans="1:8" s="92" customFormat="1" ht="16" x14ac:dyDescent="0.2"/>
    <row r="215" spans="1:8" s="92" customFormat="1" ht="16" x14ac:dyDescent="0.2">
      <c r="A215" s="92" t="s">
        <v>935</v>
      </c>
    </row>
    <row r="216" spans="1:8" s="92" customFormat="1" ht="16" x14ac:dyDescent="0.2"/>
    <row r="217" spans="1:8" s="92" customFormat="1" ht="16" x14ac:dyDescent="0.2">
      <c r="A217" s="110" t="s">
        <v>936</v>
      </c>
      <c r="B217" s="110" t="s">
        <v>913</v>
      </c>
      <c r="C217" s="110" t="s">
        <v>829</v>
      </c>
      <c r="F217" s="110" t="s">
        <v>937</v>
      </c>
      <c r="G217" s="110"/>
    </row>
    <row r="218" spans="1:8" s="92" customFormat="1" ht="16" x14ac:dyDescent="0.2">
      <c r="A218" s="105">
        <v>2</v>
      </c>
      <c r="B218" s="105">
        <v>500</v>
      </c>
      <c r="C218" s="702" t="s">
        <v>938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3"/>
      <c r="G219" s="92" t="s">
        <v>939</v>
      </c>
    </row>
    <row r="220" spans="1:8" s="92" customFormat="1" ht="16" x14ac:dyDescent="0.2">
      <c r="A220" s="105">
        <v>6</v>
      </c>
      <c r="B220" s="105">
        <f>B219</f>
        <v>500</v>
      </c>
      <c r="C220" s="703"/>
    </row>
    <row r="221" spans="1:8" s="92" customFormat="1" ht="16" x14ac:dyDescent="0.2">
      <c r="A221" s="105">
        <v>8</v>
      </c>
      <c r="B221" s="105">
        <f>B220</f>
        <v>500</v>
      </c>
      <c r="C221" s="703"/>
    </row>
    <row r="222" spans="1:8" s="92" customFormat="1" ht="16" x14ac:dyDescent="0.2"/>
    <row r="223" spans="1:8" s="92" customFormat="1" ht="16" x14ac:dyDescent="0.2">
      <c r="A223" s="92" t="s">
        <v>940</v>
      </c>
    </row>
    <row r="224" spans="1:8" s="92" customFormat="1" ht="16" x14ac:dyDescent="0.2"/>
    <row r="225" spans="1:8" s="92" customFormat="1" ht="16" x14ac:dyDescent="0.2">
      <c r="C225" s="105" t="s">
        <v>936</v>
      </c>
    </row>
    <row r="226" spans="1:8" s="92" customFormat="1" ht="16" x14ac:dyDescent="0.2">
      <c r="C226" s="110" t="s">
        <v>941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328</v>
      </c>
    </row>
    <row r="233" spans="1:8" s="92" customFormat="1" ht="16" x14ac:dyDescent="0.2"/>
    <row r="234" spans="1:8" s="92" customFormat="1" ht="16" x14ac:dyDescent="0.2">
      <c r="A234" s="94" t="s">
        <v>942</v>
      </c>
      <c r="B234" s="94" t="s">
        <v>943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944</v>
      </c>
    </row>
    <row r="236" spans="1:8" s="92" customFormat="1" ht="16" x14ac:dyDescent="0.2">
      <c r="A236" s="92" t="s">
        <v>945</v>
      </c>
    </row>
    <row r="237" spans="1:8" s="92" customFormat="1" ht="16" x14ac:dyDescent="0.2">
      <c r="A237" s="92" t="s">
        <v>946</v>
      </c>
    </row>
    <row r="238" spans="1:8" s="92" customFormat="1" ht="16" x14ac:dyDescent="0.2"/>
    <row r="239" spans="1:8" s="92" customFormat="1" ht="16" x14ac:dyDescent="0.2">
      <c r="A239" s="93" t="s">
        <v>947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948</v>
      </c>
    </row>
    <row r="242" spans="1:8" s="92" customFormat="1" ht="16" x14ac:dyDescent="0.2"/>
    <row r="243" spans="1:8" s="92" customFormat="1" ht="16" x14ac:dyDescent="0.2">
      <c r="A243" s="92" t="s">
        <v>949</v>
      </c>
    </row>
    <row r="244" spans="1:8" s="92" customFormat="1" ht="16" x14ac:dyDescent="0.2">
      <c r="A244" s="92" t="s">
        <v>950</v>
      </c>
    </row>
    <row r="245" spans="1:8" s="92" customFormat="1" ht="16" x14ac:dyDescent="0.2">
      <c r="A245" s="92" t="s">
        <v>951</v>
      </c>
    </row>
    <row r="246" spans="1:8" s="92" customFormat="1" ht="16" x14ac:dyDescent="0.2"/>
    <row r="247" spans="1:8" s="92" customFormat="1" ht="16" x14ac:dyDescent="0.2">
      <c r="A247" s="92" t="s">
        <v>952</v>
      </c>
    </row>
    <row r="248" spans="1:8" s="92" customFormat="1" ht="16" x14ac:dyDescent="0.2">
      <c r="A248" s="93" t="s">
        <v>953</v>
      </c>
      <c r="B248" s="93"/>
    </row>
    <row r="249" spans="1:8" s="92" customFormat="1" ht="16" x14ac:dyDescent="0.2">
      <c r="A249" s="93" t="s">
        <v>954</v>
      </c>
      <c r="B249" s="93"/>
    </row>
    <row r="250" spans="1:8" s="92" customFormat="1" ht="16" x14ac:dyDescent="0.2">
      <c r="A250" s="92" t="s">
        <v>955</v>
      </c>
    </row>
    <row r="251" spans="1:8" s="92" customFormat="1" ht="16" x14ac:dyDescent="0.2"/>
    <row r="252" spans="1:8" s="92" customFormat="1" ht="16" x14ac:dyDescent="0.2">
      <c r="A252" s="117" t="s">
        <v>956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957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958</v>
      </c>
    </row>
    <row r="256" spans="1:8" s="92" customFormat="1" ht="16" x14ac:dyDescent="0.2">
      <c r="A256" s="92" t="s">
        <v>946</v>
      </c>
    </row>
    <row r="257" spans="1:7" s="92" customFormat="1" ht="16" x14ac:dyDescent="0.2"/>
    <row r="258" spans="1:7" s="92" customFormat="1" ht="16" x14ac:dyDescent="0.2">
      <c r="A258" s="93" t="s">
        <v>959</v>
      </c>
      <c r="D258" s="92" t="s">
        <v>960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961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962</v>
      </c>
      <c r="F263" s="105">
        <v>0</v>
      </c>
      <c r="G263" s="92" t="s">
        <v>105</v>
      </c>
    </row>
    <row r="264" spans="1:7" s="92" customFormat="1" ht="16" x14ac:dyDescent="0.2">
      <c r="A264" s="92" t="s">
        <v>963</v>
      </c>
      <c r="F264" s="105">
        <v>1</v>
      </c>
      <c r="G264" s="92" t="s">
        <v>328</v>
      </c>
    </row>
    <row r="265" spans="1:7" s="92" customFormat="1" ht="16" x14ac:dyDescent="0.2"/>
    <row r="266" spans="1:7" s="92" customFormat="1" ht="16" x14ac:dyDescent="0.2">
      <c r="A266" s="92" t="s">
        <v>964</v>
      </c>
    </row>
    <row r="267" spans="1:7" s="92" customFormat="1" ht="16" x14ac:dyDescent="0.2">
      <c r="A267" s="92" t="s">
        <v>965</v>
      </c>
    </row>
    <row r="268" spans="1:7" s="92" customFormat="1" ht="16" x14ac:dyDescent="0.2"/>
    <row r="269" spans="1:7" s="92" customFormat="1" ht="16" x14ac:dyDescent="0.2">
      <c r="A269" s="93" t="s">
        <v>966</v>
      </c>
      <c r="D269" s="92" t="s">
        <v>967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968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969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970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971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972</v>
      </c>
      <c r="F275" s="105">
        <v>0</v>
      </c>
      <c r="G275" s="92" t="s">
        <v>328</v>
      </c>
    </row>
    <row r="276" spans="1:8" s="92" customFormat="1" ht="16" x14ac:dyDescent="0.2"/>
    <row r="277" spans="1:8" s="92" customFormat="1" ht="16" x14ac:dyDescent="0.2">
      <c r="A277" s="93" t="s">
        <v>973</v>
      </c>
    </row>
    <row r="278" spans="1:8" s="92" customFormat="1" ht="16" x14ac:dyDescent="0.2"/>
    <row r="279" spans="1:8" s="92" customFormat="1" ht="16" x14ac:dyDescent="0.2">
      <c r="A279" s="94" t="s">
        <v>974</v>
      </c>
      <c r="B279" s="94" t="s">
        <v>815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975</v>
      </c>
    </row>
    <row r="281" spans="1:8" s="92" customFormat="1" ht="16" x14ac:dyDescent="0.2">
      <c r="A281" s="92" t="s">
        <v>976</v>
      </c>
    </row>
    <row r="282" spans="1:8" s="92" customFormat="1" ht="16" x14ac:dyDescent="0.2"/>
    <row r="283" spans="1:8" s="92" customFormat="1" ht="16" x14ac:dyDescent="0.2">
      <c r="A283" s="92" t="s">
        <v>977</v>
      </c>
    </row>
    <row r="284" spans="1:8" s="92" customFormat="1" ht="16" x14ac:dyDescent="0.2"/>
    <row r="285" spans="1:8" s="92" customFormat="1" ht="16" x14ac:dyDescent="0.2">
      <c r="A285" s="92" t="s">
        <v>321</v>
      </c>
    </row>
    <row r="286" spans="1:8" s="92" customFormat="1" ht="16" x14ac:dyDescent="0.2">
      <c r="A286" s="92" t="s">
        <v>978</v>
      </c>
    </row>
    <row r="287" spans="1:8" s="92" customFormat="1" ht="16" x14ac:dyDescent="0.2">
      <c r="A287" s="92" t="s">
        <v>979</v>
      </c>
    </row>
    <row r="288" spans="1:8" s="92" customFormat="1" ht="16" x14ac:dyDescent="0.2">
      <c r="A288" s="92" t="s">
        <v>980</v>
      </c>
    </row>
    <row r="289" spans="1:7" s="92" customFormat="1" ht="16" x14ac:dyDescent="0.2"/>
    <row r="290" spans="1:7" s="92" customFormat="1" ht="16" x14ac:dyDescent="0.2">
      <c r="A290" s="93" t="s">
        <v>981</v>
      </c>
    </row>
    <row r="291" spans="1:7" s="92" customFormat="1" ht="16" x14ac:dyDescent="0.2">
      <c r="B291" s="111" t="s">
        <v>982</v>
      </c>
      <c r="C291" s="111"/>
      <c r="F291" s="111" t="s">
        <v>983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686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984</v>
      </c>
    </row>
    <row r="295" spans="1:7" s="92" customFormat="1" ht="16" x14ac:dyDescent="0.2">
      <c r="B295" s="112">
        <v>100000</v>
      </c>
      <c r="C295" s="92" t="s">
        <v>91</v>
      </c>
      <c r="F295" s="92" t="s">
        <v>985</v>
      </c>
    </row>
    <row r="296" spans="1:7" s="92" customFormat="1" ht="16" x14ac:dyDescent="0.2">
      <c r="B296" s="105">
        <v>0</v>
      </c>
      <c r="C296" s="92" t="s">
        <v>105</v>
      </c>
      <c r="F296" s="92" t="s">
        <v>986</v>
      </c>
    </row>
    <row r="297" spans="1:7" s="92" customFormat="1" ht="16" x14ac:dyDescent="0.2">
      <c r="B297" s="105">
        <v>0</v>
      </c>
      <c r="C297" s="92" t="s">
        <v>328</v>
      </c>
    </row>
    <row r="298" spans="1:7" s="92" customFormat="1" ht="16" x14ac:dyDescent="0.2"/>
    <row r="299" spans="1:7" s="92" customFormat="1" ht="16" x14ac:dyDescent="0.2">
      <c r="A299" s="93" t="s">
        <v>987</v>
      </c>
    </row>
    <row r="300" spans="1:7" s="92" customFormat="1" ht="16" x14ac:dyDescent="0.2">
      <c r="A300" s="93"/>
      <c r="B300" s="111" t="s">
        <v>988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989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328</v>
      </c>
    </row>
    <row r="307" spans="1:5" s="92" customFormat="1" ht="16" x14ac:dyDescent="0.2"/>
    <row r="308" spans="1:5" s="92" customFormat="1" ht="16" x14ac:dyDescent="0.2">
      <c r="A308" s="93" t="s">
        <v>990</v>
      </c>
    </row>
    <row r="309" spans="1:5" s="92" customFormat="1" ht="16" x14ac:dyDescent="0.2">
      <c r="C309" s="110" t="s">
        <v>153</v>
      </c>
      <c r="D309" s="110" t="s">
        <v>991</v>
      </c>
      <c r="E309" s="110" t="s">
        <v>992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383</v>
      </c>
      <c r="B323" s="94" t="s">
        <v>993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994</v>
      </c>
    </row>
    <row r="325" spans="1:8" s="92" customFormat="1" ht="16" x14ac:dyDescent="0.2">
      <c r="A325" s="92" t="s">
        <v>995</v>
      </c>
    </row>
    <row r="326" spans="1:8" s="92" customFormat="1" ht="16" x14ac:dyDescent="0.2">
      <c r="A326" s="92" t="s">
        <v>996</v>
      </c>
    </row>
    <row r="327" spans="1:8" s="92" customFormat="1" ht="16" x14ac:dyDescent="0.2"/>
    <row r="328" spans="1:8" s="92" customFormat="1" ht="16" x14ac:dyDescent="0.2">
      <c r="A328" s="93" t="s">
        <v>811</v>
      </c>
    </row>
    <row r="329" spans="1:8" s="92" customFormat="1" ht="16" x14ac:dyDescent="0.2"/>
    <row r="330" spans="1:8" s="92" customFormat="1" ht="16" x14ac:dyDescent="0.2">
      <c r="B330" s="111" t="s">
        <v>997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989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328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390</v>
      </c>
      <c r="B340" s="94" t="s">
        <v>943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998</v>
      </c>
    </row>
    <row r="342" spans="1:8" s="92" customFormat="1" ht="16" x14ac:dyDescent="0.2">
      <c r="A342" s="92" t="s">
        <v>999</v>
      </c>
    </row>
    <row r="343" spans="1:8" s="92" customFormat="1" ht="16" x14ac:dyDescent="0.2">
      <c r="A343" s="92" t="s">
        <v>1000</v>
      </c>
    </row>
    <row r="344" spans="1:8" s="92" customFormat="1" ht="16" x14ac:dyDescent="0.2">
      <c r="A344" s="92" t="s">
        <v>1001</v>
      </c>
    </row>
    <row r="345" spans="1:8" s="92" customFormat="1" ht="16" x14ac:dyDescent="0.2">
      <c r="A345" s="92" t="s">
        <v>1002</v>
      </c>
    </row>
    <row r="346" spans="1:8" s="92" customFormat="1" ht="16" x14ac:dyDescent="0.2">
      <c r="A346" s="92" t="s">
        <v>1003</v>
      </c>
    </row>
    <row r="347" spans="1:8" s="92" customFormat="1" ht="16" x14ac:dyDescent="0.2">
      <c r="A347" s="92" t="s">
        <v>1004</v>
      </c>
    </row>
    <row r="348" spans="1:8" s="92" customFormat="1" ht="16" x14ac:dyDescent="0.2"/>
    <row r="349" spans="1:8" s="92" customFormat="1" ht="16" x14ac:dyDescent="0.2">
      <c r="A349" s="92" t="s">
        <v>1005</v>
      </c>
    </row>
    <row r="350" spans="1:8" s="92" customFormat="1" ht="16" x14ac:dyDescent="0.2">
      <c r="A350" s="92" t="s">
        <v>1006</v>
      </c>
    </row>
    <row r="351" spans="1:8" s="92" customFormat="1" ht="16" x14ac:dyDescent="0.2">
      <c r="A351" s="92" t="s">
        <v>1007</v>
      </c>
    </row>
    <row r="352" spans="1:8" s="92" customFormat="1" ht="16" x14ac:dyDescent="0.2">
      <c r="A352" s="92" t="s">
        <v>1008</v>
      </c>
    </row>
    <row r="353" spans="1:8" s="92" customFormat="1" ht="16" x14ac:dyDescent="0.2">
      <c r="C353" s="121" t="s">
        <v>1009</v>
      </c>
      <c r="D353" s="120" t="s">
        <v>1010</v>
      </c>
      <c r="E353" s="119" t="s">
        <v>1011</v>
      </c>
    </row>
    <row r="354" spans="1:8" s="92" customFormat="1" ht="16" x14ac:dyDescent="0.2">
      <c r="C354" s="110" t="s">
        <v>1012</v>
      </c>
      <c r="D354" s="110" t="s">
        <v>771</v>
      </c>
      <c r="E354" s="110" t="s">
        <v>772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1013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395</v>
      </c>
      <c r="B363" s="94" t="s">
        <v>1014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1015</v>
      </c>
    </row>
    <row r="365" spans="1:8" s="92" customFormat="1" ht="16" x14ac:dyDescent="0.2">
      <c r="A365" s="92" t="s">
        <v>1016</v>
      </c>
    </row>
    <row r="366" spans="1:8" s="92" customFormat="1" ht="16" x14ac:dyDescent="0.2">
      <c r="A366" s="92" t="s">
        <v>1017</v>
      </c>
    </row>
    <row r="367" spans="1:8" s="92" customFormat="1" ht="17" thickBot="1" x14ac:dyDescent="0.25"/>
    <row r="368" spans="1:8" s="92" customFormat="1" ht="17" thickBot="1" x14ac:dyDescent="0.25">
      <c r="A368" s="124" t="s">
        <v>1018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1019</v>
      </c>
    </row>
    <row r="370" spans="1:1" s="92" customFormat="1" ht="16" x14ac:dyDescent="0.2">
      <c r="A370" s="92" t="s">
        <v>1020</v>
      </c>
    </row>
    <row r="371" spans="1:1" s="92" customFormat="1" ht="16" x14ac:dyDescent="0.2"/>
    <row r="372" spans="1:1" s="92" customFormat="1" ht="16" x14ac:dyDescent="0.2">
      <c r="A372" s="92" t="s">
        <v>1021</v>
      </c>
    </row>
    <row r="373" spans="1:1" s="92" customFormat="1" ht="16" x14ac:dyDescent="0.2">
      <c r="A373" s="92" t="s">
        <v>1022</v>
      </c>
    </row>
    <row r="374" spans="1:1" s="92" customFormat="1" ht="16" x14ac:dyDescent="0.2"/>
    <row r="375" spans="1:1" s="92" customFormat="1" ht="16" x14ac:dyDescent="0.2">
      <c r="A375" s="92" t="s">
        <v>1023</v>
      </c>
    </row>
    <row r="376" spans="1:1" s="92" customFormat="1" ht="16" x14ac:dyDescent="0.2">
      <c r="A376" s="92" t="s">
        <v>1024</v>
      </c>
    </row>
    <row r="377" spans="1:1" s="92" customFormat="1" ht="16" x14ac:dyDescent="0.2">
      <c r="A377" s="92" t="s">
        <v>1025</v>
      </c>
    </row>
    <row r="378" spans="1:1" s="92" customFormat="1" ht="16" x14ac:dyDescent="0.2">
      <c r="A378" s="92" t="s">
        <v>1026</v>
      </c>
    </row>
    <row r="379" spans="1:1" s="92" customFormat="1" ht="16" x14ac:dyDescent="0.2"/>
    <row r="380" spans="1:1" s="92" customFormat="1" ht="16" x14ac:dyDescent="0.2">
      <c r="A380" s="92" t="s">
        <v>1027</v>
      </c>
    </row>
    <row r="381" spans="1:1" s="92" customFormat="1" ht="16" x14ac:dyDescent="0.2">
      <c r="A381" s="92" t="s">
        <v>1028</v>
      </c>
    </row>
    <row r="382" spans="1:1" s="92" customFormat="1" ht="16" x14ac:dyDescent="0.2">
      <c r="A382" s="92" t="s">
        <v>1029</v>
      </c>
    </row>
    <row r="383" spans="1:1" s="92" customFormat="1" ht="16" x14ac:dyDescent="0.2"/>
    <row r="384" spans="1:1" s="92" customFormat="1" ht="16" x14ac:dyDescent="0.2">
      <c r="A384" s="92" t="s">
        <v>1030</v>
      </c>
    </row>
    <row r="385" spans="1:5" s="92" customFormat="1" ht="16" x14ac:dyDescent="0.2">
      <c r="A385" s="92" t="s">
        <v>1031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1032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1033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1034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1035</v>
      </c>
    </row>
    <row r="398" spans="1:5" s="92" customFormat="1" ht="16" x14ac:dyDescent="0.2">
      <c r="E398" s="92" t="s">
        <v>1036</v>
      </c>
    </row>
    <row r="399" spans="1:5" s="92" customFormat="1" ht="16" x14ac:dyDescent="0.2"/>
    <row r="400" spans="1:5" s="92" customFormat="1" ht="16" x14ac:dyDescent="0.2">
      <c r="D400" s="110" t="s">
        <v>868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1037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1038</v>
      </c>
    </row>
    <row r="408" spans="1:8" s="92" customFormat="1" ht="16" x14ac:dyDescent="0.2">
      <c r="A408" s="92" t="s">
        <v>1039</v>
      </c>
    </row>
    <row r="409" spans="1:8" s="92" customFormat="1" ht="16" x14ac:dyDescent="0.2"/>
    <row r="410" spans="1:8" s="92" customFormat="1" ht="16" x14ac:dyDescent="0.2">
      <c r="A410" s="92" t="s">
        <v>1040</v>
      </c>
    </row>
    <row r="411" spans="1:8" s="92" customFormat="1" ht="16" x14ac:dyDescent="0.2">
      <c r="A411" s="92" t="s">
        <v>1041</v>
      </c>
    </row>
    <row r="412" spans="1:8" s="92" customFormat="1" ht="16" x14ac:dyDescent="0.2"/>
    <row r="413" spans="1:8" s="92" customFormat="1" ht="16" x14ac:dyDescent="0.2">
      <c r="A413" s="94" t="s">
        <v>408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1042</v>
      </c>
    </row>
    <row r="416" spans="1:8" s="92" customFormat="1" ht="16" x14ac:dyDescent="0.2">
      <c r="A416" s="92" t="s">
        <v>1043</v>
      </c>
    </row>
    <row r="417" spans="1:9" s="92" customFormat="1" ht="16" x14ac:dyDescent="0.2"/>
    <row r="418" spans="1:9" s="92" customFormat="1" ht="16" x14ac:dyDescent="0.2">
      <c r="A418" s="92" t="s">
        <v>1044</v>
      </c>
    </row>
    <row r="419" spans="1:9" s="92" customFormat="1" ht="16" x14ac:dyDescent="0.2"/>
    <row r="420" spans="1:9" s="92" customFormat="1" ht="16" x14ac:dyDescent="0.2">
      <c r="A420" s="110" t="s">
        <v>904</v>
      </c>
      <c r="B420" s="110" t="s">
        <v>905</v>
      </c>
      <c r="C420" s="111" t="s">
        <v>906</v>
      </c>
      <c r="F420" s="105" t="s">
        <v>907</v>
      </c>
      <c r="G420" s="105" t="s">
        <v>908</v>
      </c>
      <c r="H420" s="105" t="s">
        <v>909</v>
      </c>
    </row>
    <row r="421" spans="1:9" s="92" customFormat="1" ht="16" x14ac:dyDescent="0.2">
      <c r="A421" s="105">
        <v>0</v>
      </c>
      <c r="B421" s="105"/>
      <c r="C421" s="473"/>
      <c r="F421" s="105" t="s">
        <v>910</v>
      </c>
      <c r="G421" s="105" t="s">
        <v>911</v>
      </c>
      <c r="H421" s="105" t="s">
        <v>912</v>
      </c>
    </row>
    <row r="422" spans="1:9" s="92" customFormat="1" ht="16" x14ac:dyDescent="0.2">
      <c r="A422" s="105">
        <v>1</v>
      </c>
      <c r="B422" s="105"/>
      <c r="C422" s="473"/>
      <c r="F422" s="105" t="s">
        <v>913</v>
      </c>
      <c r="G422" s="105" t="s">
        <v>914</v>
      </c>
      <c r="H422" s="105" t="s">
        <v>915</v>
      </c>
    </row>
    <row r="423" spans="1:9" s="92" customFormat="1" ht="16" x14ac:dyDescent="0.2">
      <c r="A423" s="105">
        <v>2</v>
      </c>
      <c r="B423" s="105"/>
      <c r="C423" s="473"/>
      <c r="F423" s="110" t="s">
        <v>917</v>
      </c>
      <c r="G423" s="110" t="s">
        <v>1045</v>
      </c>
      <c r="H423" s="110" t="s">
        <v>919</v>
      </c>
    </row>
    <row r="424" spans="1:9" s="92" customFormat="1" ht="16" x14ac:dyDescent="0.2">
      <c r="A424" s="105" t="s">
        <v>566</v>
      </c>
      <c r="B424" s="105"/>
      <c r="C424" s="473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566</v>
      </c>
      <c r="B425" s="105"/>
      <c r="C425" s="473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76">
        <v>25000</v>
      </c>
      <c r="C426" s="475">
        <v>0</v>
      </c>
      <c r="F426" s="105">
        <v>0</v>
      </c>
      <c r="G426" s="105"/>
      <c r="H426" s="461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74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566</v>
      </c>
      <c r="B428" s="142"/>
      <c r="C428" s="142">
        <f>C427</f>
        <v>2000</v>
      </c>
      <c r="F428" s="112">
        <f>-H426+B426+C426</f>
        <v>90742.03247852996</v>
      </c>
      <c r="G428" s="472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566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328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77" t="s">
        <v>1046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6" t="s">
        <v>2672</v>
      </c>
      <c r="B1" s="706"/>
      <c r="C1" s="706"/>
      <c r="D1" s="706"/>
      <c r="E1" s="706"/>
      <c r="F1" s="706"/>
      <c r="G1" s="706"/>
      <c r="H1" s="706"/>
    </row>
    <row r="3" spans="1:8" x14ac:dyDescent="0.2">
      <c r="A3" s="92" t="s">
        <v>2673</v>
      </c>
    </row>
    <row r="4" spans="1:8" x14ac:dyDescent="0.2">
      <c r="A4" s="92" t="s">
        <v>2674</v>
      </c>
    </row>
    <row r="5" spans="1:8" ht="17" thickBot="1" x14ac:dyDescent="0.25"/>
    <row r="6" spans="1:8" x14ac:dyDescent="0.2">
      <c r="A6" s="95" t="s">
        <v>2675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2676</v>
      </c>
      <c r="H7" s="99"/>
    </row>
    <row r="8" spans="1:8" x14ac:dyDescent="0.2">
      <c r="A8" s="98" t="s">
        <v>2677</v>
      </c>
      <c r="H8" s="99"/>
    </row>
    <row r="9" spans="1:8" x14ac:dyDescent="0.2">
      <c r="A9" s="98" t="s">
        <v>2678</v>
      </c>
      <c r="H9" s="99"/>
    </row>
    <row r="10" spans="1:8" ht="17" thickBot="1" x14ac:dyDescent="0.25">
      <c r="A10" s="100" t="s">
        <v>2679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2682</v>
      </c>
      <c r="D12" s="105">
        <v>13</v>
      </c>
      <c r="E12" s="105" t="s">
        <v>2681</v>
      </c>
      <c r="F12" s="105">
        <v>1</v>
      </c>
      <c r="G12" s="105">
        <v>0</v>
      </c>
    </row>
    <row r="14" spans="1:8" x14ac:dyDescent="0.2">
      <c r="A14" s="92" t="s">
        <v>2680</v>
      </c>
      <c r="G14" s="604" t="s">
        <v>740</v>
      </c>
    </row>
    <row r="24" spans="1:8" x14ac:dyDescent="0.2">
      <c r="A24" s="92" t="s">
        <v>2685</v>
      </c>
      <c r="E24" s="603" t="s">
        <v>2684</v>
      </c>
      <c r="F24" s="602" t="s">
        <v>2683</v>
      </c>
    </row>
    <row r="25" spans="1:8" x14ac:dyDescent="0.2">
      <c r="A25" s="92" t="s">
        <v>2686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05">
        <f>PV(E25,E26,E27,E29)</f>
        <v>-50303.193583140579</v>
      </c>
      <c r="F28" s="601">
        <f>PV(F25,F26,F27,F29)</f>
        <v>-33844.299332648581</v>
      </c>
      <c r="G28" s="92" t="s">
        <v>281</v>
      </c>
    </row>
    <row r="29" spans="1:8" x14ac:dyDescent="0.2">
      <c r="E29" s="601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2687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2688</v>
      </c>
    </row>
    <row r="33" spans="1:8" x14ac:dyDescent="0.2">
      <c r="A33" s="92" t="s">
        <v>2689</v>
      </c>
    </row>
    <row r="34" spans="1:8" x14ac:dyDescent="0.2">
      <c r="A34" s="92" t="s">
        <v>1048</v>
      </c>
    </row>
    <row r="35" spans="1:8" x14ac:dyDescent="0.2">
      <c r="A35" s="92" t="s">
        <v>1049</v>
      </c>
    </row>
    <row r="36" spans="1:8" x14ac:dyDescent="0.2">
      <c r="A36" s="92" t="s">
        <v>1050</v>
      </c>
    </row>
    <row r="37" spans="1:8" x14ac:dyDescent="0.2">
      <c r="A37" s="92" t="s">
        <v>1051</v>
      </c>
    </row>
    <row r="38" spans="1:8" x14ac:dyDescent="0.2">
      <c r="A38" s="92" t="s">
        <v>1052</v>
      </c>
    </row>
    <row r="39" spans="1:8" x14ac:dyDescent="0.2">
      <c r="A39" s="92" t="s">
        <v>1053</v>
      </c>
    </row>
    <row r="41" spans="1:8" x14ac:dyDescent="0.2">
      <c r="A41" s="92" t="s">
        <v>1054</v>
      </c>
    </row>
    <row r="42" spans="1:8" x14ac:dyDescent="0.2">
      <c r="A42" s="92" t="s">
        <v>1055</v>
      </c>
    </row>
    <row r="43" spans="1:8" x14ac:dyDescent="0.2">
      <c r="A43" s="92" t="s">
        <v>1056</v>
      </c>
    </row>
    <row r="44" spans="1:8" x14ac:dyDescent="0.2">
      <c r="A44" s="92" t="s">
        <v>1057</v>
      </c>
    </row>
    <row r="46" spans="1:8" x14ac:dyDescent="0.2">
      <c r="A46" s="130" t="s">
        <v>1058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1059</v>
      </c>
    </row>
    <row r="50" spans="1:8" x14ac:dyDescent="0.2">
      <c r="A50" s="92" t="s">
        <v>65</v>
      </c>
    </row>
    <row r="51" spans="1:8" x14ac:dyDescent="0.2">
      <c r="A51" s="105" t="s">
        <v>1060</v>
      </c>
      <c r="B51" s="92" t="s">
        <v>1061</v>
      </c>
    </row>
    <row r="52" spans="1:8" x14ac:dyDescent="0.2">
      <c r="A52" s="105" t="s">
        <v>1062</v>
      </c>
      <c r="B52" s="92" t="s">
        <v>1063</v>
      </c>
    </row>
    <row r="53" spans="1:8" x14ac:dyDescent="0.2">
      <c r="A53" s="105" t="s">
        <v>69</v>
      </c>
      <c r="B53" s="92" t="s">
        <v>1064</v>
      </c>
    </row>
    <row r="55" spans="1:8" x14ac:dyDescent="0.2">
      <c r="A55" s="130" t="s">
        <v>1065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1066</v>
      </c>
    </row>
    <row r="59" spans="1:8" x14ac:dyDescent="0.2">
      <c r="A59" s="92" t="s">
        <v>65</v>
      </c>
    </row>
    <row r="60" spans="1:8" x14ac:dyDescent="0.2">
      <c r="A60" s="105" t="s">
        <v>1067</v>
      </c>
      <c r="B60" s="92" t="s">
        <v>1068</v>
      </c>
    </row>
    <row r="61" spans="1:8" x14ac:dyDescent="0.2">
      <c r="A61" s="105" t="s">
        <v>1062</v>
      </c>
      <c r="B61" s="92" t="s">
        <v>1069</v>
      </c>
    </row>
    <row r="62" spans="1:8" x14ac:dyDescent="0.2">
      <c r="A62" s="105" t="s">
        <v>69</v>
      </c>
      <c r="B62" s="92" t="s">
        <v>1070</v>
      </c>
    </row>
    <row r="63" spans="1:8" x14ac:dyDescent="0.2">
      <c r="A63" s="105" t="s">
        <v>1071</v>
      </c>
      <c r="B63" s="92" t="s">
        <v>1072</v>
      </c>
    </row>
    <row r="65" spans="1:8" x14ac:dyDescent="0.2">
      <c r="A65" s="130" t="s">
        <v>1073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1074</v>
      </c>
    </row>
    <row r="68" spans="1:8" x14ac:dyDescent="0.2">
      <c r="A68" s="92" t="s">
        <v>65</v>
      </c>
    </row>
    <row r="69" spans="1:8" x14ac:dyDescent="0.2">
      <c r="A69" s="105" t="s">
        <v>1067</v>
      </c>
      <c r="B69" s="92" t="s">
        <v>1075</v>
      </c>
    </row>
    <row r="70" spans="1:8" x14ac:dyDescent="0.2">
      <c r="A70" s="105" t="s">
        <v>67</v>
      </c>
      <c r="B70" s="92" t="s">
        <v>1076</v>
      </c>
    </row>
    <row r="71" spans="1:8" x14ac:dyDescent="0.2">
      <c r="A71" s="105" t="s">
        <v>1071</v>
      </c>
      <c r="B71" s="92" t="s">
        <v>1077</v>
      </c>
    </row>
    <row r="73" spans="1:8" x14ac:dyDescent="0.2">
      <c r="A73" s="130" t="s">
        <v>1078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1079</v>
      </c>
    </row>
    <row r="76" spans="1:8" x14ac:dyDescent="0.2">
      <c r="A76" s="92" t="s">
        <v>65</v>
      </c>
    </row>
    <row r="77" spans="1:8" x14ac:dyDescent="0.2">
      <c r="A77" s="105" t="s">
        <v>1067</v>
      </c>
      <c r="B77" s="92" t="s">
        <v>1080</v>
      </c>
    </row>
    <row r="78" spans="1:8" x14ac:dyDescent="0.2">
      <c r="A78" s="105" t="s">
        <v>1081</v>
      </c>
      <c r="B78" s="92" t="s">
        <v>1082</v>
      </c>
    </row>
    <row r="79" spans="1:8" x14ac:dyDescent="0.2">
      <c r="A79" s="105" t="s">
        <v>1083</v>
      </c>
      <c r="B79" s="92" t="s">
        <v>1084</v>
      </c>
    </row>
    <row r="81" spans="1:8" x14ac:dyDescent="0.2">
      <c r="A81" s="129" t="s">
        <v>1085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1086</v>
      </c>
    </row>
    <row r="83" spans="1:8" x14ac:dyDescent="0.2">
      <c r="A83" s="92" t="s">
        <v>2690</v>
      </c>
    </row>
    <row r="84" spans="1:8" x14ac:dyDescent="0.2">
      <c r="A84" s="92" t="s">
        <v>2691</v>
      </c>
    </row>
    <row r="85" spans="1:8" x14ac:dyDescent="0.2">
      <c r="A85" s="92" t="s">
        <v>2692</v>
      </c>
    </row>
    <row r="86" spans="1:8" x14ac:dyDescent="0.2">
      <c r="A86" s="92" t="s">
        <v>2693</v>
      </c>
    </row>
    <row r="87" spans="1:8" ht="17" thickBot="1" x14ac:dyDescent="0.25"/>
    <row r="88" spans="1:8" x14ac:dyDescent="0.2">
      <c r="A88" s="103" t="s">
        <v>1087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1088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1089</v>
      </c>
      <c r="D91" s="131">
        <v>7.4999999999999997E-3</v>
      </c>
      <c r="E91" s="105" t="s">
        <v>1090</v>
      </c>
      <c r="G91" s="92" t="s">
        <v>1059</v>
      </c>
    </row>
    <row r="92" spans="1:8" x14ac:dyDescent="0.2">
      <c r="A92" s="92" t="s">
        <v>1091</v>
      </c>
      <c r="D92" s="131">
        <v>1.4999999999999999E-2</v>
      </c>
      <c r="E92" s="105" t="s">
        <v>1092</v>
      </c>
    </row>
    <row r="93" spans="1:8" x14ac:dyDescent="0.2">
      <c r="A93" s="92" t="s">
        <v>1093</v>
      </c>
      <c r="D93" s="131">
        <f>9%/4</f>
        <v>2.2499999999999999E-2</v>
      </c>
      <c r="E93" s="105" t="s">
        <v>1094</v>
      </c>
      <c r="F93" s="105" t="s">
        <v>2698</v>
      </c>
      <c r="G93" s="105" t="s">
        <v>1250</v>
      </c>
      <c r="H93" s="92" t="s">
        <v>2694</v>
      </c>
    </row>
    <row r="94" spans="1:8" x14ac:dyDescent="0.2">
      <c r="A94" s="92" t="s">
        <v>1095</v>
      </c>
      <c r="D94" s="131">
        <v>4.4999999999999998E-2</v>
      </c>
      <c r="E94" s="105" t="s">
        <v>1096</v>
      </c>
      <c r="F94" s="105" t="s">
        <v>2699</v>
      </c>
      <c r="G94" s="105" t="s">
        <v>2697</v>
      </c>
      <c r="H94" s="92" t="s">
        <v>2695</v>
      </c>
    </row>
    <row r="95" spans="1:8" x14ac:dyDescent="0.2">
      <c r="H95" s="92" t="s">
        <v>2696</v>
      </c>
    </row>
    <row r="96" spans="1:8" x14ac:dyDescent="0.2">
      <c r="A96" s="129" t="s">
        <v>1097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1098</v>
      </c>
    </row>
    <row r="98" spans="1:7" x14ac:dyDescent="0.2">
      <c r="A98" s="92" t="s">
        <v>1099</v>
      </c>
    </row>
    <row r="99" spans="1:7" x14ac:dyDescent="0.2">
      <c r="A99" s="92" t="s">
        <v>2702</v>
      </c>
    </row>
    <row r="101" spans="1:7" x14ac:dyDescent="0.2">
      <c r="A101" s="133" t="s">
        <v>1089</v>
      </c>
      <c r="C101" s="608">
        <v>1</v>
      </c>
      <c r="D101" s="110"/>
      <c r="E101" s="110"/>
      <c r="F101" s="111"/>
      <c r="G101" s="110">
        <v>0</v>
      </c>
    </row>
    <row r="102" spans="1:7" x14ac:dyDescent="0.2">
      <c r="C102" s="464">
        <f>-20000*(1+8%)</f>
        <v>-21600</v>
      </c>
      <c r="D102" s="606" t="s">
        <v>1100</v>
      </c>
      <c r="E102" s="607"/>
      <c r="F102" s="607"/>
      <c r="G102" s="464">
        <v>20000</v>
      </c>
    </row>
    <row r="103" spans="1:7" x14ac:dyDescent="0.2">
      <c r="C103" s="463" t="s">
        <v>1101</v>
      </c>
      <c r="D103" s="607"/>
      <c r="E103" s="607"/>
      <c r="F103" s="607"/>
      <c r="G103" s="307" t="s">
        <v>1102</v>
      </c>
    </row>
    <row r="104" spans="1:7" s="307" customFormat="1" x14ac:dyDescent="0.2">
      <c r="C104" s="463" t="s">
        <v>1103</v>
      </c>
      <c r="G104" s="307" t="s">
        <v>1104</v>
      </c>
    </row>
    <row r="105" spans="1:7" s="307" customFormat="1" x14ac:dyDescent="0.2"/>
    <row r="106" spans="1:7" s="307" customFormat="1" x14ac:dyDescent="0.2">
      <c r="E106" s="462">
        <v>0.08</v>
      </c>
      <c r="G106" s="307" t="s">
        <v>1105</v>
      </c>
    </row>
    <row r="107" spans="1:7" s="307" customFormat="1" x14ac:dyDescent="0.2"/>
    <row r="108" spans="1:7" x14ac:dyDescent="0.2">
      <c r="A108" s="92" t="s">
        <v>1106</v>
      </c>
    </row>
    <row r="109" spans="1:7" x14ac:dyDescent="0.2">
      <c r="A109" s="92" t="s">
        <v>2700</v>
      </c>
    </row>
    <row r="110" spans="1:7" x14ac:dyDescent="0.2">
      <c r="A110" s="92" t="s">
        <v>2701</v>
      </c>
    </row>
    <row r="112" spans="1:7" x14ac:dyDescent="0.2">
      <c r="D112" s="92" t="s">
        <v>1107</v>
      </c>
      <c r="E112" s="92" t="s">
        <v>1108</v>
      </c>
    </row>
    <row r="113" spans="1:8" x14ac:dyDescent="0.2">
      <c r="A113" s="133" t="s">
        <v>1091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0">
        <f>-D115*1.02</f>
        <v>-21648.643199999999</v>
      </c>
      <c r="D115" s="611">
        <f>20808*1.02</f>
        <v>21224.16</v>
      </c>
      <c r="E115" s="610">
        <f>20400*(1+2%)</f>
        <v>20808</v>
      </c>
      <c r="F115" s="610">
        <f>20000*(1+2%)</f>
        <v>20400</v>
      </c>
      <c r="G115" s="609">
        <v>20000</v>
      </c>
    </row>
    <row r="116" spans="1:8" x14ac:dyDescent="0.2">
      <c r="C116" s="607"/>
      <c r="D116" s="607"/>
      <c r="E116" s="607"/>
      <c r="F116" s="607"/>
      <c r="G116" s="607"/>
    </row>
    <row r="117" spans="1:8" x14ac:dyDescent="0.2">
      <c r="C117" s="307" t="s">
        <v>1109</v>
      </c>
      <c r="D117" s="307" t="s">
        <v>1109</v>
      </c>
      <c r="E117" s="307" t="s">
        <v>1109</v>
      </c>
      <c r="F117" s="307"/>
      <c r="G117" s="307" t="s">
        <v>1109</v>
      </c>
    </row>
    <row r="118" spans="1:8" s="307" customFormat="1" x14ac:dyDescent="0.2"/>
    <row r="119" spans="1:8" s="307" customFormat="1" x14ac:dyDescent="0.2">
      <c r="A119" s="307" t="s">
        <v>1110</v>
      </c>
    </row>
    <row r="120" spans="1:8" s="307" customFormat="1" x14ac:dyDescent="0.2">
      <c r="A120" s="307" t="s">
        <v>2703</v>
      </c>
    </row>
    <row r="121" spans="1:8" s="307" customFormat="1" x14ac:dyDescent="0.2"/>
    <row r="122" spans="1:8" s="307" customFormat="1" x14ac:dyDescent="0.2">
      <c r="E122" s="612">
        <f>-C115/G115-1</f>
        <v>8.2432159999999977E-2</v>
      </c>
      <c r="G122" s="307" t="s">
        <v>1111</v>
      </c>
    </row>
    <row r="123" spans="1:8" s="307" customFormat="1" ht="17" thickBot="1" x14ac:dyDescent="0.25"/>
    <row r="124" spans="1:8" ht="17" thickBot="1" x14ac:dyDescent="0.25">
      <c r="A124" s="481" t="s">
        <v>2704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7" t="s">
        <v>1112</v>
      </c>
      <c r="H125" s="707"/>
    </row>
    <row r="126" spans="1:8" x14ac:dyDescent="0.2">
      <c r="D126" s="135"/>
      <c r="E126" s="135" t="s">
        <v>1066</v>
      </c>
    </row>
    <row r="127" spans="1:8" x14ac:dyDescent="0.2">
      <c r="D127" s="135"/>
      <c r="E127" s="135"/>
    </row>
    <row r="128" spans="1:8" x14ac:dyDescent="0.2">
      <c r="E128" s="92" t="s">
        <v>1113</v>
      </c>
    </row>
    <row r="129" spans="1:8" x14ac:dyDescent="0.2">
      <c r="A129" s="92" t="s">
        <v>65</v>
      </c>
      <c r="G129" s="92" t="s">
        <v>1114</v>
      </c>
    </row>
    <row r="130" spans="1:8" x14ac:dyDescent="0.2">
      <c r="A130" s="105" t="s">
        <v>1067</v>
      </c>
      <c r="B130" s="92" t="s">
        <v>1068</v>
      </c>
      <c r="G130" s="92" t="s">
        <v>1115</v>
      </c>
    </row>
    <row r="131" spans="1:8" x14ac:dyDescent="0.2">
      <c r="A131" s="105" t="s">
        <v>1062</v>
      </c>
      <c r="B131" s="92" t="s">
        <v>1069</v>
      </c>
    </row>
    <row r="132" spans="1:8" x14ac:dyDescent="0.2">
      <c r="A132" s="105" t="s">
        <v>69</v>
      </c>
      <c r="B132" s="92" t="s">
        <v>1070</v>
      </c>
      <c r="H132" s="92" t="s">
        <v>1116</v>
      </c>
    </row>
    <row r="133" spans="1:8" x14ac:dyDescent="0.2">
      <c r="A133" s="105" t="s">
        <v>1071</v>
      </c>
      <c r="B133" s="92" t="s">
        <v>1072</v>
      </c>
      <c r="H133" s="92" t="s">
        <v>1117</v>
      </c>
    </row>
    <row r="134" spans="1:8" x14ac:dyDescent="0.2">
      <c r="H134" s="92" t="s">
        <v>1118</v>
      </c>
    </row>
    <row r="135" spans="1:8" x14ac:dyDescent="0.2">
      <c r="A135" s="136" t="s">
        <v>1119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1120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1121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1122</v>
      </c>
    </row>
    <row r="140" spans="1:8" x14ac:dyDescent="0.2">
      <c r="A140" s="92" t="s">
        <v>1123</v>
      </c>
      <c r="H140" s="135" t="s">
        <v>1066</v>
      </c>
    </row>
    <row r="141" spans="1:8" x14ac:dyDescent="0.2">
      <c r="A141" s="92" t="s">
        <v>1124</v>
      </c>
      <c r="H141" s="92" t="s">
        <v>1125</v>
      </c>
    </row>
    <row r="142" spans="1:8" x14ac:dyDescent="0.2">
      <c r="A142" s="92" t="s">
        <v>1126</v>
      </c>
      <c r="H142" s="92" t="s">
        <v>1127</v>
      </c>
    </row>
    <row r="143" spans="1:8" x14ac:dyDescent="0.2">
      <c r="A143" s="92" t="s">
        <v>1128</v>
      </c>
      <c r="H143" s="92" t="s">
        <v>1129</v>
      </c>
    </row>
    <row r="144" spans="1:8" x14ac:dyDescent="0.2">
      <c r="A144" s="92" t="s">
        <v>1130</v>
      </c>
      <c r="H144" s="92" t="s">
        <v>1131</v>
      </c>
    </row>
    <row r="146" spans="1:8" x14ac:dyDescent="0.2">
      <c r="A146" s="129" t="s">
        <v>2705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1132</v>
      </c>
      <c r="H147" s="135" t="s">
        <v>1066</v>
      </c>
    </row>
    <row r="148" spans="1:8" x14ac:dyDescent="0.2">
      <c r="A148" s="92" t="s">
        <v>1133</v>
      </c>
      <c r="F148" s="307"/>
      <c r="G148" s="307"/>
      <c r="H148" s="307" t="s">
        <v>1134</v>
      </c>
    </row>
    <row r="149" spans="1:8" x14ac:dyDescent="0.2">
      <c r="A149" s="92" t="s">
        <v>1135</v>
      </c>
      <c r="G149" s="307"/>
      <c r="H149" s="307" t="s">
        <v>1136</v>
      </c>
    </row>
    <row r="150" spans="1:8" s="307" customFormat="1" x14ac:dyDescent="0.2">
      <c r="A150" s="307" t="s">
        <v>1137</v>
      </c>
      <c r="H150" s="307" t="s">
        <v>1138</v>
      </c>
    </row>
    <row r="151" spans="1:8" s="307" customFormat="1" x14ac:dyDescent="0.2">
      <c r="A151" s="307" t="s">
        <v>1139</v>
      </c>
      <c r="H151" s="307" t="s">
        <v>1140</v>
      </c>
    </row>
    <row r="152" spans="1:8" ht="17" customHeight="1" x14ac:dyDescent="0.2"/>
    <row r="153" spans="1:8" ht="17" customHeight="1" x14ac:dyDescent="0.2">
      <c r="A153" s="92" t="s">
        <v>1141</v>
      </c>
    </row>
    <row r="154" spans="1:8" ht="17" customHeight="1" x14ac:dyDescent="0.2">
      <c r="A154" s="92" t="s">
        <v>1142</v>
      </c>
    </row>
    <row r="155" spans="1:8" ht="17" customHeight="1" x14ac:dyDescent="0.2">
      <c r="A155" s="92" t="s">
        <v>1143</v>
      </c>
    </row>
    <row r="156" spans="1:8" ht="17" customHeight="1" x14ac:dyDescent="0.2"/>
    <row r="157" spans="1:8" ht="17" customHeight="1" x14ac:dyDescent="0.2">
      <c r="A157" s="92" t="s">
        <v>1144</v>
      </c>
      <c r="B157" s="92" t="s">
        <v>1145</v>
      </c>
      <c r="D157" s="92" t="s">
        <v>1146</v>
      </c>
    </row>
    <row r="158" spans="1:8" ht="17" customHeight="1" x14ac:dyDescent="0.2">
      <c r="B158" s="92" t="s">
        <v>1147</v>
      </c>
      <c r="D158" s="92" t="s">
        <v>1148</v>
      </c>
      <c r="E158" s="92" t="s">
        <v>1149</v>
      </c>
    </row>
    <row r="159" spans="1:8" ht="17" customHeight="1" x14ac:dyDescent="0.2">
      <c r="B159" s="92" t="s">
        <v>1150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1151</v>
      </c>
      <c r="B161" s="92" t="s">
        <v>1145</v>
      </c>
      <c r="D161" s="92" t="s">
        <v>1152</v>
      </c>
    </row>
    <row r="162" spans="1:8" ht="17" customHeight="1" x14ac:dyDescent="0.2">
      <c r="B162" s="92" t="s">
        <v>1147</v>
      </c>
      <c r="D162" s="92" t="s">
        <v>1148</v>
      </c>
      <c r="E162" s="92" t="s">
        <v>1149</v>
      </c>
    </row>
    <row r="163" spans="1:8" ht="17" customHeight="1" x14ac:dyDescent="0.2">
      <c r="B163" s="92" t="s">
        <v>1150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1153</v>
      </c>
      <c r="B165" s="92" t="s">
        <v>1145</v>
      </c>
      <c r="D165" s="92" t="s">
        <v>347</v>
      </c>
    </row>
    <row r="166" spans="1:8" ht="17" customHeight="1" x14ac:dyDescent="0.2">
      <c r="B166" s="92" t="s">
        <v>1147</v>
      </c>
      <c r="D166" s="92" t="s">
        <v>1148</v>
      </c>
      <c r="E166" s="92" t="s">
        <v>1149</v>
      </c>
    </row>
    <row r="167" spans="1:8" ht="17" customHeight="1" x14ac:dyDescent="0.2">
      <c r="B167" s="92" t="s">
        <v>1150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1153</v>
      </c>
      <c r="B169" s="92" t="s">
        <v>1145</v>
      </c>
      <c r="D169" s="92" t="s">
        <v>1154</v>
      </c>
    </row>
    <row r="170" spans="1:8" ht="17" customHeight="1" x14ac:dyDescent="0.2">
      <c r="B170" s="92" t="s">
        <v>1147</v>
      </c>
      <c r="D170" s="92" t="s">
        <v>1148</v>
      </c>
      <c r="E170" s="92" t="s">
        <v>1149</v>
      </c>
    </row>
    <row r="171" spans="1:8" ht="17" customHeight="1" x14ac:dyDescent="0.2">
      <c r="B171" s="92" t="s">
        <v>1150</v>
      </c>
      <c r="D171" s="141" t="s">
        <v>1155</v>
      </c>
      <c r="E171" s="92" t="s">
        <v>1156</v>
      </c>
    </row>
    <row r="172" spans="1:8" ht="17" customHeight="1" x14ac:dyDescent="0.2">
      <c r="E172" s="92" t="s">
        <v>1157</v>
      </c>
    </row>
    <row r="173" spans="1:8" ht="17" customHeight="1" x14ac:dyDescent="0.2"/>
    <row r="174" spans="1:8" x14ac:dyDescent="0.2">
      <c r="A174" s="129" t="s">
        <v>2706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1158</v>
      </c>
    </row>
    <row r="176" spans="1:8" x14ac:dyDescent="0.2">
      <c r="A176" s="92" t="s">
        <v>1159</v>
      </c>
    </row>
    <row r="177" spans="1:7" x14ac:dyDescent="0.2">
      <c r="A177" s="92" t="s">
        <v>1160</v>
      </c>
    </row>
    <row r="178" spans="1:7" x14ac:dyDescent="0.2">
      <c r="A178" s="92" t="s">
        <v>1161</v>
      </c>
    </row>
    <row r="180" spans="1:7" x14ac:dyDescent="0.2">
      <c r="A180" s="482" t="s">
        <v>1162</v>
      </c>
    </row>
    <row r="181" spans="1:7" x14ac:dyDescent="0.2">
      <c r="A181" s="92" t="s">
        <v>1163</v>
      </c>
    </row>
    <row r="182" spans="1:7" x14ac:dyDescent="0.2">
      <c r="F182" s="135" t="s">
        <v>1066</v>
      </c>
    </row>
    <row r="183" spans="1:7" s="307" customFormat="1" x14ac:dyDescent="0.2">
      <c r="A183" s="307" t="s">
        <v>1165</v>
      </c>
      <c r="F183" s="307" t="s">
        <v>1166</v>
      </c>
    </row>
    <row r="184" spans="1:7" s="307" customFormat="1" x14ac:dyDescent="0.2">
      <c r="A184" s="307" t="s">
        <v>1167</v>
      </c>
      <c r="F184" s="307" t="s">
        <v>1168</v>
      </c>
    </row>
    <row r="185" spans="1:7" s="307" customFormat="1" x14ac:dyDescent="0.2">
      <c r="A185" s="307" t="s">
        <v>1169</v>
      </c>
    </row>
    <row r="186" spans="1:7" s="307" customFormat="1" x14ac:dyDescent="0.2">
      <c r="F186" s="307" t="s">
        <v>1170</v>
      </c>
    </row>
    <row r="187" spans="1:7" x14ac:dyDescent="0.2">
      <c r="E187" s="613">
        <f>(1.195618^(1/12)-1)*12</f>
        <v>0.1799998544405943</v>
      </c>
      <c r="F187" s="463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83" t="s">
        <v>1171</v>
      </c>
    </row>
    <row r="191" spans="1:7" x14ac:dyDescent="0.2">
      <c r="A191" s="117" t="s">
        <v>1172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1173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1074</v>
      </c>
    </row>
    <row r="195" spans="1:10" x14ac:dyDescent="0.2">
      <c r="F195" s="92" t="s">
        <v>1174</v>
      </c>
    </row>
    <row r="196" spans="1:10" x14ac:dyDescent="0.2">
      <c r="B196" s="92" t="s">
        <v>65</v>
      </c>
    </row>
    <row r="197" spans="1:10" x14ac:dyDescent="0.2">
      <c r="B197" s="105" t="s">
        <v>1067</v>
      </c>
      <c r="C197" s="92" t="s">
        <v>1075</v>
      </c>
    </row>
    <row r="198" spans="1:10" x14ac:dyDescent="0.2">
      <c r="B198" s="105" t="s">
        <v>67</v>
      </c>
      <c r="C198" s="92" t="s">
        <v>1076</v>
      </c>
    </row>
    <row r="199" spans="1:10" x14ac:dyDescent="0.2">
      <c r="B199" s="105" t="s">
        <v>1071</v>
      </c>
      <c r="C199" s="92" t="s">
        <v>1077</v>
      </c>
    </row>
    <row r="200" spans="1:10" ht="17" thickBot="1" x14ac:dyDescent="0.25">
      <c r="B200" s="105"/>
    </row>
    <row r="201" spans="1:10" x14ac:dyDescent="0.2">
      <c r="A201" s="103" t="s">
        <v>1175</v>
      </c>
      <c r="B201" s="478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1176</v>
      </c>
      <c r="B202" s="105"/>
      <c r="I202" s="99" t="s">
        <v>1164</v>
      </c>
      <c r="J202" s="92">
        <v>1</v>
      </c>
    </row>
    <row r="203" spans="1:10" ht="17" thickBot="1" x14ac:dyDescent="0.25">
      <c r="A203" s="100" t="s">
        <v>1177</v>
      </c>
      <c r="B203" s="479"/>
      <c r="C203" s="101"/>
      <c r="D203" s="101"/>
      <c r="E203" s="101"/>
      <c r="F203" s="101"/>
      <c r="G203" s="101"/>
      <c r="H203" s="101"/>
      <c r="I203" s="102" t="s">
        <v>1074</v>
      </c>
      <c r="J203" s="92">
        <v>2</v>
      </c>
    </row>
    <row r="204" spans="1:10" x14ac:dyDescent="0.2">
      <c r="B204" s="105"/>
    </row>
    <row r="205" spans="1:10" x14ac:dyDescent="0.2">
      <c r="A205" s="167" t="s">
        <v>2707</v>
      </c>
      <c r="B205" s="520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2708</v>
      </c>
      <c r="B206" s="105"/>
    </row>
    <row r="207" spans="1:10" x14ac:dyDescent="0.2">
      <c r="A207" s="92" t="s">
        <v>2709</v>
      </c>
      <c r="B207" s="105"/>
    </row>
    <row r="208" spans="1:10" x14ac:dyDescent="0.2">
      <c r="A208" s="92" t="s">
        <v>2710</v>
      </c>
      <c r="B208" s="105"/>
    </row>
    <row r="209" spans="1:8" x14ac:dyDescent="0.2">
      <c r="B209" s="105"/>
    </row>
    <row r="210" spans="1:8" x14ac:dyDescent="0.2">
      <c r="A210" s="92" t="s">
        <v>2711</v>
      </c>
      <c r="B210" s="105"/>
    </row>
    <row r="211" spans="1:8" x14ac:dyDescent="0.2">
      <c r="A211" s="92" t="s">
        <v>611</v>
      </c>
      <c r="B211" s="105"/>
      <c r="H211" s="92" t="s">
        <v>1164</v>
      </c>
    </row>
    <row r="212" spans="1:8" x14ac:dyDescent="0.2">
      <c r="B212" s="105"/>
      <c r="E212" s="134">
        <f>(1+6%/12)^6-1</f>
        <v>3.0377509393764601E-2</v>
      </c>
      <c r="H212" s="92" t="s">
        <v>2712</v>
      </c>
    </row>
    <row r="213" spans="1:8" x14ac:dyDescent="0.2">
      <c r="B213" s="105"/>
      <c r="H213" s="92" t="s">
        <v>1074</v>
      </c>
    </row>
    <row r="214" spans="1:8" x14ac:dyDescent="0.2">
      <c r="A214" s="92" t="s">
        <v>610</v>
      </c>
      <c r="B214" s="105"/>
      <c r="E214" s="134">
        <f>(1+3.5%)^2-1</f>
        <v>7.1224999999999872E-2</v>
      </c>
      <c r="H214" s="92" t="s">
        <v>2713</v>
      </c>
    </row>
    <row r="215" spans="1:8" x14ac:dyDescent="0.2">
      <c r="B215" s="105"/>
    </row>
    <row r="216" spans="1:8" x14ac:dyDescent="0.2">
      <c r="A216" s="92" t="s">
        <v>2714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6" t="s">
        <v>2730</v>
      </c>
      <c r="B1" s="706"/>
      <c r="C1" s="706"/>
      <c r="D1" s="706"/>
      <c r="E1" s="706"/>
      <c r="F1" s="706"/>
      <c r="G1" s="706"/>
      <c r="H1" s="706"/>
    </row>
    <row r="3" spans="1:8" x14ac:dyDescent="0.2">
      <c r="A3" s="148" t="s">
        <v>1238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1239</v>
      </c>
    </row>
    <row r="5" spans="1:8" x14ac:dyDescent="0.2">
      <c r="A5" s="43" t="s">
        <v>2726</v>
      </c>
    </row>
    <row r="6" spans="1:8" x14ac:dyDescent="0.2">
      <c r="A6" s="43" t="s">
        <v>2727</v>
      </c>
    </row>
    <row r="7" spans="1:8" x14ac:dyDescent="0.2">
      <c r="A7" s="43" t="s">
        <v>2728</v>
      </c>
    </row>
    <row r="9" spans="1:8" x14ac:dyDescent="0.2">
      <c r="A9" s="43" t="s">
        <v>2729</v>
      </c>
    </row>
    <row r="11" spans="1:8" s="92" customFormat="1" ht="16" x14ac:dyDescent="0.2">
      <c r="A11" s="130" t="s">
        <v>1058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1059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1060</v>
      </c>
      <c r="B16" s="92" t="s">
        <v>1061</v>
      </c>
    </row>
    <row r="17" spans="1:8" s="92" customFormat="1" ht="16" x14ac:dyDescent="0.2">
      <c r="A17" s="105" t="s">
        <v>1062</v>
      </c>
      <c r="B17" s="92" t="s">
        <v>1063</v>
      </c>
    </row>
    <row r="18" spans="1:8" s="92" customFormat="1" ht="16" x14ac:dyDescent="0.2">
      <c r="A18" s="105" t="s">
        <v>69</v>
      </c>
      <c r="B18" s="92" t="s">
        <v>1064</v>
      </c>
    </row>
    <row r="19" spans="1:8" s="92" customFormat="1" ht="16" x14ac:dyDescent="0.2"/>
    <row r="20" spans="1:8" s="92" customFormat="1" ht="16" x14ac:dyDescent="0.2">
      <c r="A20" s="130" t="s">
        <v>1065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1066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1067</v>
      </c>
      <c r="B25" s="92" t="s">
        <v>1068</v>
      </c>
    </row>
    <row r="26" spans="1:8" s="92" customFormat="1" ht="16" x14ac:dyDescent="0.2">
      <c r="A26" s="105" t="s">
        <v>1062</v>
      </c>
      <c r="B26" s="92" t="s">
        <v>1069</v>
      </c>
    </row>
    <row r="27" spans="1:8" s="92" customFormat="1" ht="16" x14ac:dyDescent="0.2">
      <c r="A27" s="105" t="s">
        <v>69</v>
      </c>
      <c r="B27" s="92" t="s">
        <v>1070</v>
      </c>
    </row>
    <row r="28" spans="1:8" s="92" customFormat="1" ht="16" x14ac:dyDescent="0.2">
      <c r="A28" s="105" t="s">
        <v>1071</v>
      </c>
      <c r="B28" s="92" t="s">
        <v>1072</v>
      </c>
    </row>
    <row r="29" spans="1:8" s="92" customFormat="1" ht="16" x14ac:dyDescent="0.2"/>
    <row r="30" spans="1:8" s="92" customFormat="1" ht="16" x14ac:dyDescent="0.2">
      <c r="A30" s="130" t="s">
        <v>1073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1074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1067</v>
      </c>
      <c r="B34" s="92" t="s">
        <v>1075</v>
      </c>
    </row>
    <row r="35" spans="1:8" s="92" customFormat="1" ht="16" x14ac:dyDescent="0.2">
      <c r="A35" s="105" t="s">
        <v>67</v>
      </c>
      <c r="B35" s="92" t="s">
        <v>1076</v>
      </c>
    </row>
    <row r="36" spans="1:8" s="92" customFormat="1" ht="16" x14ac:dyDescent="0.2">
      <c r="A36" s="105" t="s">
        <v>1071</v>
      </c>
      <c r="B36" s="92" t="s">
        <v>1077</v>
      </c>
    </row>
    <row r="37" spans="1:8" s="92" customFormat="1" ht="16" x14ac:dyDescent="0.2"/>
    <row r="38" spans="1:8" s="92" customFormat="1" ht="16" x14ac:dyDescent="0.2">
      <c r="A38" s="130" t="s">
        <v>1078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1079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1067</v>
      </c>
      <c r="B42" s="92" t="s">
        <v>1080</v>
      </c>
    </row>
    <row r="43" spans="1:8" s="92" customFormat="1" ht="16" x14ac:dyDescent="0.2">
      <c r="A43" s="105" t="s">
        <v>1081</v>
      </c>
      <c r="B43" s="92" t="s">
        <v>1082</v>
      </c>
    </row>
    <row r="44" spans="1:8" s="92" customFormat="1" ht="16" x14ac:dyDescent="0.2">
      <c r="A44" s="105" t="s">
        <v>1083</v>
      </c>
      <c r="B44" s="92" t="s">
        <v>1084</v>
      </c>
    </row>
    <row r="46" spans="1:8" s="92" customFormat="1" ht="16" x14ac:dyDescent="0.2">
      <c r="A46" s="129" t="s">
        <v>2731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1178</v>
      </c>
    </row>
    <row r="48" spans="1:8" s="92" customFormat="1" ht="16" x14ac:dyDescent="0.2">
      <c r="A48" s="92" t="s">
        <v>1179</v>
      </c>
    </row>
    <row r="49" spans="1:8" s="92" customFormat="1" ht="16" x14ac:dyDescent="0.2">
      <c r="A49" s="92" t="s">
        <v>1180</v>
      </c>
    </row>
    <row r="50" spans="1:8" s="92" customFormat="1" ht="16" x14ac:dyDescent="0.2"/>
    <row r="51" spans="1:8" s="92" customFormat="1" ht="16" x14ac:dyDescent="0.2">
      <c r="A51" s="92" t="s">
        <v>2732</v>
      </c>
    </row>
    <row r="52" spans="1:8" s="92" customFormat="1" ht="16" x14ac:dyDescent="0.2">
      <c r="A52" s="92" t="s">
        <v>2733</v>
      </c>
    </row>
    <row r="53" spans="1:8" s="92" customFormat="1" ht="16" x14ac:dyDescent="0.2">
      <c r="A53" s="92" t="s">
        <v>2734</v>
      </c>
    </row>
    <row r="54" spans="1:8" s="92" customFormat="1" ht="16" x14ac:dyDescent="0.2">
      <c r="A54" s="92" t="s">
        <v>2735</v>
      </c>
    </row>
    <row r="55" spans="1:8" s="92" customFormat="1" ht="16" x14ac:dyDescent="0.2">
      <c r="A55" s="92" t="s">
        <v>2736</v>
      </c>
    </row>
    <row r="56" spans="1:8" s="92" customFormat="1" ht="16" x14ac:dyDescent="0.2"/>
    <row r="57" spans="1:8" s="92" customFormat="1" ht="16" x14ac:dyDescent="0.2">
      <c r="A57" s="92" t="s">
        <v>2737</v>
      </c>
    </row>
    <row r="58" spans="1:8" s="92" customFormat="1" ht="17" thickBot="1" x14ac:dyDescent="0.25">
      <c r="A58" s="92" t="s">
        <v>2738</v>
      </c>
    </row>
    <row r="59" spans="1:8" s="92" customFormat="1" ht="16" x14ac:dyDescent="0.2">
      <c r="D59" s="103"/>
      <c r="E59" s="96"/>
      <c r="F59" s="96"/>
      <c r="G59" s="96"/>
      <c r="H59" s="97" t="s">
        <v>1079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16" t="s">
        <v>1067</v>
      </c>
      <c r="E61" s="92" t="s">
        <v>1080</v>
      </c>
      <c r="H61" s="99"/>
    </row>
    <row r="62" spans="1:8" s="92" customFormat="1" ht="16" x14ac:dyDescent="0.2">
      <c r="D62" s="616" t="s">
        <v>1081</v>
      </c>
      <c r="E62" s="92" t="s">
        <v>1082</v>
      </c>
      <c r="H62" s="99"/>
    </row>
    <row r="63" spans="1:8" s="92" customFormat="1" ht="17" thickBot="1" x14ac:dyDescent="0.25">
      <c r="D63" s="600" t="s">
        <v>1083</v>
      </c>
      <c r="E63" s="101" t="s">
        <v>1084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2745</v>
      </c>
      <c r="D65" s="105" t="s">
        <v>2744</v>
      </c>
      <c r="E65" s="105" t="s">
        <v>2743</v>
      </c>
      <c r="F65" s="105" t="s">
        <v>2742</v>
      </c>
    </row>
    <row r="66" spans="1:8" s="92" customFormat="1" ht="16" x14ac:dyDescent="0.2">
      <c r="A66" s="92" t="s">
        <v>2741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1181</v>
      </c>
      <c r="D67" s="614"/>
      <c r="E67" s="614"/>
      <c r="F67" s="615" t="s">
        <v>1182</v>
      </c>
      <c r="G67" s="464">
        <v>100000</v>
      </c>
      <c r="H67" s="92" t="s">
        <v>1183</v>
      </c>
    </row>
    <row r="68" spans="1:8" s="92" customFormat="1" ht="16" x14ac:dyDescent="0.2">
      <c r="D68" s="614"/>
      <c r="E68" s="614"/>
      <c r="F68" s="614"/>
      <c r="G68" s="463">
        <v>-750</v>
      </c>
      <c r="H68" s="92" t="s">
        <v>2739</v>
      </c>
    </row>
    <row r="69" spans="1:8" s="92" customFormat="1" ht="16" x14ac:dyDescent="0.2">
      <c r="B69" s="92" t="str">
        <f ca="1">_xlfn.FORMULATEXT(C69)</f>
        <v>=-100000*(1+9%/4)^4</v>
      </c>
      <c r="C69" s="484">
        <f>-100000*(1+9%/4)^4</f>
        <v>-109308.33187890623</v>
      </c>
      <c r="D69" s="614"/>
      <c r="E69" s="614"/>
      <c r="F69" s="614"/>
      <c r="G69" s="461">
        <f>G67+G68</f>
        <v>99250</v>
      </c>
      <c r="H69" s="92" t="s">
        <v>2740</v>
      </c>
    </row>
    <row r="70" spans="1:8" s="92" customFormat="1" ht="16" x14ac:dyDescent="0.2"/>
    <row r="71" spans="1:8" s="92" customFormat="1" ht="16" x14ac:dyDescent="0.2">
      <c r="A71" s="92" t="s">
        <v>1185</v>
      </c>
    </row>
    <row r="72" spans="1:8" s="92" customFormat="1" ht="16" x14ac:dyDescent="0.2">
      <c r="A72" s="92" t="s">
        <v>1186</v>
      </c>
    </row>
    <row r="73" spans="1:8" s="92" customFormat="1" ht="16" x14ac:dyDescent="0.2">
      <c r="B73" s="92" t="s">
        <v>2746</v>
      </c>
      <c r="G73" s="92" t="s">
        <v>1079</v>
      </c>
    </row>
    <row r="74" spans="1:8" s="92" customFormat="1" ht="16" x14ac:dyDescent="0.2">
      <c r="B74" s="92" t="s">
        <v>196</v>
      </c>
      <c r="G74" s="92" t="s">
        <v>1187</v>
      </c>
    </row>
    <row r="75" spans="1:8" s="92" customFormat="1" ht="16" x14ac:dyDescent="0.2"/>
    <row r="76" spans="1:8" s="92" customFormat="1" ht="16" x14ac:dyDescent="0.2">
      <c r="A76" s="92" t="s">
        <v>2747</v>
      </c>
    </row>
    <row r="77" spans="1:8" s="92" customFormat="1" ht="16" x14ac:dyDescent="0.2">
      <c r="A77" s="92" t="s">
        <v>2748</v>
      </c>
      <c r="D77" s="92" t="s">
        <v>1066</v>
      </c>
    </row>
    <row r="78" spans="1:8" s="92" customFormat="1" ht="16" x14ac:dyDescent="0.2">
      <c r="A78" s="92" t="s">
        <v>2749</v>
      </c>
    </row>
    <row r="79" spans="1:8" s="92" customFormat="1" ht="16" x14ac:dyDescent="0.2">
      <c r="A79" s="92" t="s">
        <v>2750</v>
      </c>
    </row>
    <row r="80" spans="1:8" s="92" customFormat="1" ht="16" x14ac:dyDescent="0.2">
      <c r="A80" s="92" t="s">
        <v>2751</v>
      </c>
    </row>
    <row r="81" spans="1:8" s="92" customFormat="1" ht="16" x14ac:dyDescent="0.2">
      <c r="A81" s="92" t="s">
        <v>2752</v>
      </c>
    </row>
    <row r="82" spans="1:8" s="92" customFormat="1" ht="16" x14ac:dyDescent="0.2">
      <c r="A82" s="92" t="s">
        <v>2753</v>
      </c>
    </row>
    <row r="83" spans="1:8" s="92" customFormat="1" ht="16" x14ac:dyDescent="0.2"/>
    <row r="84" spans="1:8" s="92" customFormat="1" ht="16" x14ac:dyDescent="0.2">
      <c r="A84" s="92" t="s">
        <v>2754</v>
      </c>
    </row>
    <row r="85" spans="1:8" s="92" customFormat="1" ht="16" x14ac:dyDescent="0.2">
      <c r="A85" s="92" t="s">
        <v>2755</v>
      </c>
    </row>
    <row r="86" spans="1:8" s="92" customFormat="1" ht="16" x14ac:dyDescent="0.2">
      <c r="A86" s="92" t="s">
        <v>2756</v>
      </c>
    </row>
    <row r="87" spans="1:8" s="92" customFormat="1" ht="17" thickBot="1" x14ac:dyDescent="0.25"/>
    <row r="88" spans="1:8" s="92" customFormat="1" ht="16" x14ac:dyDescent="0.2">
      <c r="A88" s="617" t="s">
        <v>2757</v>
      </c>
      <c r="B88" s="618"/>
      <c r="C88" s="618"/>
      <c r="D88" s="618"/>
      <c r="E88" s="618"/>
      <c r="F88" s="618"/>
      <c r="G88" s="618"/>
      <c r="H88" s="619"/>
    </row>
    <row r="89" spans="1:8" s="92" customFormat="1" ht="16" x14ac:dyDescent="0.2">
      <c r="A89" s="620" t="s">
        <v>2758</v>
      </c>
      <c r="B89" s="312"/>
      <c r="C89" s="312"/>
      <c r="D89" s="312"/>
      <c r="E89" s="312"/>
      <c r="F89" s="312"/>
      <c r="G89" s="312"/>
      <c r="H89" s="621"/>
    </row>
    <row r="90" spans="1:8" s="92" customFormat="1" ht="16" x14ac:dyDescent="0.2">
      <c r="A90" s="620" t="s">
        <v>2759</v>
      </c>
      <c r="B90" s="312"/>
      <c r="C90" s="312"/>
      <c r="D90" s="312"/>
      <c r="E90" s="312"/>
      <c r="F90" s="312"/>
      <c r="G90" s="312"/>
      <c r="H90" s="621"/>
    </row>
    <row r="91" spans="1:8" s="92" customFormat="1" ht="16" x14ac:dyDescent="0.2">
      <c r="A91" s="620" t="s">
        <v>2760</v>
      </c>
      <c r="B91" s="312"/>
      <c r="C91" s="312"/>
      <c r="D91" s="312"/>
      <c r="E91" s="312"/>
      <c r="F91" s="312"/>
      <c r="G91" s="312"/>
      <c r="H91" s="621"/>
    </row>
    <row r="92" spans="1:8" s="92" customFormat="1" ht="16" x14ac:dyDescent="0.2">
      <c r="A92" s="620" t="s">
        <v>2761</v>
      </c>
      <c r="B92" s="312"/>
      <c r="C92" s="312"/>
      <c r="D92" s="312"/>
      <c r="E92" s="312"/>
      <c r="F92" s="312"/>
      <c r="G92" s="312"/>
      <c r="H92" s="621"/>
    </row>
    <row r="93" spans="1:8" s="92" customFormat="1" ht="17" thickBot="1" x14ac:dyDescent="0.25">
      <c r="A93" s="622"/>
      <c r="B93" s="623"/>
      <c r="C93" s="623"/>
      <c r="D93" s="623"/>
      <c r="E93" s="623"/>
      <c r="F93" s="623"/>
      <c r="G93" s="623"/>
      <c r="H93" s="624" t="s">
        <v>1079</v>
      </c>
    </row>
    <row r="94" spans="1:8" s="92" customFormat="1" ht="16" x14ac:dyDescent="0.2"/>
    <row r="95" spans="1:8" s="92" customFormat="1" ht="16" x14ac:dyDescent="0.2">
      <c r="A95" s="129" t="s">
        <v>2715</v>
      </c>
      <c r="B95" s="129"/>
      <c r="C95" s="129"/>
      <c r="D95" s="129"/>
      <c r="E95" s="129" t="s">
        <v>780</v>
      </c>
      <c r="F95" s="129"/>
      <c r="G95" s="129"/>
      <c r="H95" s="129"/>
    </row>
    <row r="96" spans="1:8" s="92" customFormat="1" ht="16" x14ac:dyDescent="0.2">
      <c r="A96" s="92" t="s">
        <v>1189</v>
      </c>
    </row>
    <row r="97" spans="1:8" s="92" customFormat="1" ht="16" x14ac:dyDescent="0.2">
      <c r="A97" s="92" t="s">
        <v>1190</v>
      </c>
    </row>
    <row r="98" spans="1:8" s="92" customFormat="1" ht="16" x14ac:dyDescent="0.2"/>
    <row r="99" spans="1:8" s="92" customFormat="1" ht="16" x14ac:dyDescent="0.2">
      <c r="A99" s="92" t="s">
        <v>1191</v>
      </c>
    </row>
    <row r="100" spans="1:8" s="92" customFormat="1" ht="16" x14ac:dyDescent="0.2">
      <c r="A100" s="92" t="s">
        <v>1192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1193</v>
      </c>
      <c r="G103" s="105">
        <v>100</v>
      </c>
      <c r="H103" s="92" t="s">
        <v>1183</v>
      </c>
    </row>
    <row r="104" spans="1:8" s="92" customFormat="1" ht="16" x14ac:dyDescent="0.2">
      <c r="G104" s="105">
        <v>-6</v>
      </c>
      <c r="H104" s="92" t="s">
        <v>1194</v>
      </c>
    </row>
    <row r="105" spans="1:8" s="92" customFormat="1" ht="16" x14ac:dyDescent="0.2">
      <c r="G105" s="142">
        <f>G103+G104</f>
        <v>94</v>
      </c>
      <c r="H105" s="92" t="s">
        <v>1184</v>
      </c>
    </row>
    <row r="106" spans="1:8" s="92" customFormat="1" ht="16" x14ac:dyDescent="0.2"/>
    <row r="107" spans="1:8" s="92" customFormat="1" ht="16" x14ac:dyDescent="0.2">
      <c r="G107" s="92" t="s">
        <v>1195</v>
      </c>
    </row>
    <row r="108" spans="1:8" s="92" customFormat="1" ht="16" x14ac:dyDescent="0.2"/>
    <row r="109" spans="1:8" s="92" customFormat="1" ht="16" x14ac:dyDescent="0.2">
      <c r="A109" s="92" t="s">
        <v>1196</v>
      </c>
    </row>
    <row r="110" spans="1:8" s="92" customFormat="1" ht="16" x14ac:dyDescent="0.2">
      <c r="A110" s="92" t="s">
        <v>1197</v>
      </c>
    </row>
    <row r="111" spans="1:8" s="92" customFormat="1" ht="16" x14ac:dyDescent="0.2">
      <c r="A111" s="92" t="s">
        <v>1198</v>
      </c>
    </row>
    <row r="112" spans="1:8" s="92" customFormat="1" ht="16" x14ac:dyDescent="0.2">
      <c r="A112" s="92" t="s">
        <v>1199</v>
      </c>
    </row>
    <row r="113" spans="1:8" s="92" customFormat="1" ht="16" x14ac:dyDescent="0.2"/>
    <row r="114" spans="1:8" s="92" customFormat="1" ht="15" customHeight="1" x14ac:dyDescent="0.2">
      <c r="A114" s="129" t="s">
        <v>1260</v>
      </c>
      <c r="B114" s="129"/>
      <c r="C114" s="129"/>
      <c r="D114" s="129"/>
      <c r="E114" s="129" t="s">
        <v>780</v>
      </c>
      <c r="F114" s="129"/>
      <c r="G114" s="129"/>
      <c r="H114" s="129"/>
    </row>
    <row r="115" spans="1:8" s="92" customFormat="1" ht="16" x14ac:dyDescent="0.2">
      <c r="A115" s="92" t="s">
        <v>1201</v>
      </c>
    </row>
    <row r="116" spans="1:8" s="92" customFormat="1" ht="16" x14ac:dyDescent="0.2">
      <c r="A116" s="92" t="s">
        <v>1202</v>
      </c>
    </row>
    <row r="117" spans="1:8" s="92" customFormat="1" ht="16" x14ac:dyDescent="0.2">
      <c r="A117" s="92" t="s">
        <v>1203</v>
      </c>
    </row>
    <row r="118" spans="1:8" s="92" customFormat="1" ht="16" x14ac:dyDescent="0.2">
      <c r="A118" s="92" t="s">
        <v>1204</v>
      </c>
    </row>
    <row r="119" spans="1:8" s="92" customFormat="1" ht="16" x14ac:dyDescent="0.2"/>
    <row r="120" spans="1:8" s="92" customFormat="1" ht="16" x14ac:dyDescent="0.2">
      <c r="A120" s="92" t="s">
        <v>1205</v>
      </c>
      <c r="G120" s="92" t="s">
        <v>1066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1067</v>
      </c>
      <c r="B123" s="92" t="s">
        <v>1068</v>
      </c>
    </row>
    <row r="124" spans="1:8" s="92" customFormat="1" ht="16" x14ac:dyDescent="0.2">
      <c r="A124" s="105" t="s">
        <v>1062</v>
      </c>
      <c r="B124" s="92" t="s">
        <v>1069</v>
      </c>
    </row>
    <row r="125" spans="1:8" s="92" customFormat="1" ht="16" x14ac:dyDescent="0.2">
      <c r="A125" s="105" t="s">
        <v>69</v>
      </c>
      <c r="B125" s="92" t="s">
        <v>1070</v>
      </c>
    </row>
    <row r="126" spans="1:8" s="92" customFormat="1" ht="16" x14ac:dyDescent="0.2">
      <c r="A126" s="105" t="s">
        <v>1071</v>
      </c>
      <c r="B126" s="92" t="s">
        <v>1072</v>
      </c>
    </row>
    <row r="127" spans="1:8" s="92" customFormat="1" ht="16" x14ac:dyDescent="0.2"/>
    <row r="128" spans="1:8" s="92" customFormat="1" ht="16" x14ac:dyDescent="0.2">
      <c r="A128" s="92" t="s">
        <v>1206</v>
      </c>
    </row>
    <row r="129" spans="1:8" s="92" customFormat="1" ht="16" x14ac:dyDescent="0.2">
      <c r="A129" s="105" t="s">
        <v>695</v>
      </c>
      <c r="G129" s="92" t="s">
        <v>1207</v>
      </c>
    </row>
    <row r="130" spans="1:8" s="92" customFormat="1" ht="16" x14ac:dyDescent="0.2">
      <c r="A130" s="105" t="s">
        <v>696</v>
      </c>
      <c r="G130" s="92" t="s">
        <v>1208</v>
      </c>
    </row>
    <row r="131" spans="1:8" s="92" customFormat="1" ht="16" x14ac:dyDescent="0.2">
      <c r="A131" s="105" t="s">
        <v>1209</v>
      </c>
      <c r="G131" s="92" t="s">
        <v>1210</v>
      </c>
    </row>
    <row r="132" spans="1:8" s="92" customFormat="1" ht="16" x14ac:dyDescent="0.2"/>
    <row r="133" spans="1:8" s="92" customFormat="1" ht="16" x14ac:dyDescent="0.2">
      <c r="A133" s="129" t="s">
        <v>729</v>
      </c>
      <c r="B133" s="129"/>
      <c r="C133" s="129"/>
      <c r="D133" s="143"/>
      <c r="E133" s="129" t="s">
        <v>780</v>
      </c>
      <c r="F133" s="129"/>
      <c r="G133" s="129"/>
      <c r="H133" s="129"/>
    </row>
    <row r="134" spans="1:8" s="92" customFormat="1" ht="16" x14ac:dyDescent="0.2">
      <c r="A134" s="92" t="s">
        <v>1212</v>
      </c>
    </row>
    <row r="135" spans="1:8" s="92" customFormat="1" ht="16" x14ac:dyDescent="0.2">
      <c r="A135" s="92" t="s">
        <v>1213</v>
      </c>
    </row>
    <row r="136" spans="1:8" s="92" customFormat="1" ht="16" x14ac:dyDescent="0.2"/>
    <row r="137" spans="1:8" s="92" customFormat="1" ht="16" x14ac:dyDescent="0.2">
      <c r="A137" s="92" t="s">
        <v>1205</v>
      </c>
      <c r="G137" s="92" t="s">
        <v>1066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1067</v>
      </c>
      <c r="B140" s="92" t="s">
        <v>1068</v>
      </c>
    </row>
    <row r="141" spans="1:8" s="92" customFormat="1" ht="16" x14ac:dyDescent="0.2">
      <c r="A141" s="105" t="s">
        <v>1062</v>
      </c>
      <c r="B141" s="92" t="s">
        <v>1069</v>
      </c>
    </row>
    <row r="142" spans="1:8" s="92" customFormat="1" ht="16" x14ac:dyDescent="0.2">
      <c r="A142" s="105" t="s">
        <v>69</v>
      </c>
      <c r="B142" s="92" t="s">
        <v>1070</v>
      </c>
    </row>
    <row r="143" spans="1:8" s="92" customFormat="1" ht="16" x14ac:dyDescent="0.2">
      <c r="A143" s="105" t="s">
        <v>1071</v>
      </c>
      <c r="B143" s="92" t="s">
        <v>1072</v>
      </c>
    </row>
    <row r="144" spans="1:8" s="92" customFormat="1" ht="16" x14ac:dyDescent="0.2"/>
    <row r="145" spans="1:8" s="92" customFormat="1" ht="16" x14ac:dyDescent="0.2">
      <c r="A145" s="92" t="s">
        <v>1214</v>
      </c>
      <c r="E145" s="134">
        <f>1.01^6-1</f>
        <v>6.1520150601000134E-2</v>
      </c>
      <c r="G145" s="92" t="s">
        <v>1215</v>
      </c>
    </row>
    <row r="146" spans="1:8" s="92" customFormat="1" ht="16" x14ac:dyDescent="0.2"/>
    <row r="147" spans="1:8" s="92" customFormat="1" ht="16" x14ac:dyDescent="0.2">
      <c r="A147" s="92" t="s">
        <v>1216</v>
      </c>
    </row>
    <row r="148" spans="1:8" s="92" customFormat="1" ht="16" x14ac:dyDescent="0.2">
      <c r="A148" s="92" t="s">
        <v>1217</v>
      </c>
    </row>
    <row r="149" spans="1:8" s="92" customFormat="1" ht="16" x14ac:dyDescent="0.2">
      <c r="A149" s="92" t="s">
        <v>1218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2762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2766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2763</v>
      </c>
    </row>
    <row r="157" spans="1:8" s="92" customFormat="1" ht="16" x14ac:dyDescent="0.2">
      <c r="A157" s="92" t="s">
        <v>2764</v>
      </c>
    </row>
    <row r="158" spans="1:8" s="92" customFormat="1" ht="16" x14ac:dyDescent="0.2">
      <c r="A158" s="92" t="s">
        <v>2765</v>
      </c>
    </row>
    <row r="159" spans="1:8" s="92" customFormat="1" ht="17" thickBot="1" x14ac:dyDescent="0.25"/>
    <row r="160" spans="1:8" s="92" customFormat="1" ht="17" thickBot="1" x14ac:dyDescent="0.25">
      <c r="A160" s="124" t="s">
        <v>1073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1074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1067</v>
      </c>
      <c r="B164" s="92" t="s">
        <v>1075</v>
      </c>
    </row>
    <row r="165" spans="1:6" s="92" customFormat="1" ht="16" x14ac:dyDescent="0.2">
      <c r="A165" s="105" t="s">
        <v>67</v>
      </c>
      <c r="B165" s="92" t="s">
        <v>1076</v>
      </c>
    </row>
    <row r="166" spans="1:6" s="92" customFormat="1" ht="16" x14ac:dyDescent="0.2">
      <c r="A166" s="105" t="s">
        <v>1071</v>
      </c>
      <c r="B166" s="92" t="s">
        <v>1077</v>
      </c>
    </row>
    <row r="167" spans="1:6" s="92" customFormat="1" ht="16" x14ac:dyDescent="0.2"/>
    <row r="168" spans="1:6" s="92" customFormat="1" ht="16" x14ac:dyDescent="0.2">
      <c r="A168" s="92" t="s">
        <v>1219</v>
      </c>
    </row>
    <row r="169" spans="1:6" s="92" customFormat="1" ht="16" x14ac:dyDescent="0.2"/>
    <row r="170" spans="1:6" s="92" customFormat="1" ht="16" x14ac:dyDescent="0.2">
      <c r="B170" s="625">
        <f>(1+9.5%)^(1/12)-1</f>
        <v>7.5915342905825689E-3</v>
      </c>
      <c r="F170" s="92" t="s">
        <v>2767</v>
      </c>
    </row>
    <row r="171" spans="1:6" s="92" customFormat="1" ht="16" x14ac:dyDescent="0.2"/>
    <row r="172" spans="1:6" s="92" customFormat="1" ht="16" x14ac:dyDescent="0.2">
      <c r="A172" s="92" t="s">
        <v>842</v>
      </c>
    </row>
    <row r="173" spans="1:6" s="92" customFormat="1" ht="16" x14ac:dyDescent="0.2">
      <c r="A173" s="92" t="s">
        <v>2768</v>
      </c>
    </row>
    <row r="174" spans="1:6" s="92" customFormat="1" ht="16" x14ac:dyDescent="0.2">
      <c r="A174" s="92" t="s">
        <v>2769</v>
      </c>
    </row>
    <row r="175" spans="1:6" s="92" customFormat="1" ht="16" x14ac:dyDescent="0.2">
      <c r="A175" s="92" t="s">
        <v>2770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2716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1220</v>
      </c>
    </row>
    <row r="180" spans="1:10" s="92" customFormat="1" ht="16" x14ac:dyDescent="0.2">
      <c r="A180" s="92" t="s">
        <v>1221</v>
      </c>
    </row>
    <row r="181" spans="1:10" s="92" customFormat="1" ht="16" x14ac:dyDescent="0.2">
      <c r="A181" s="92" t="s">
        <v>1222</v>
      </c>
    </row>
    <row r="182" spans="1:10" s="92" customFormat="1" ht="16" x14ac:dyDescent="0.2">
      <c r="A182" s="92" t="s">
        <v>1223</v>
      </c>
    </row>
    <row r="183" spans="1:10" s="92" customFormat="1" ht="16" x14ac:dyDescent="0.2">
      <c r="A183" s="92" t="s">
        <v>1224</v>
      </c>
    </row>
    <row r="184" spans="1:10" s="92" customFormat="1" ht="16" x14ac:dyDescent="0.2"/>
    <row r="185" spans="1:10" s="92" customFormat="1" ht="16" x14ac:dyDescent="0.2">
      <c r="A185" s="93" t="s">
        <v>1225</v>
      </c>
    </row>
    <row r="186" spans="1:10" s="92" customFormat="1" ht="16" x14ac:dyDescent="0.2">
      <c r="A186" s="93" t="s">
        <v>1226</v>
      </c>
    </row>
    <row r="187" spans="1:10" s="92" customFormat="1" ht="16" x14ac:dyDescent="0.2">
      <c r="A187" s="93" t="s">
        <v>1227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1228</v>
      </c>
      <c r="B191" s="484">
        <f>-200000*1.09</f>
        <v>-218000.00000000003</v>
      </c>
      <c r="C191" s="607"/>
      <c r="D191" s="307" t="s">
        <v>1271</v>
      </c>
      <c r="E191" s="307" t="s">
        <v>2778</v>
      </c>
      <c r="F191" s="607"/>
      <c r="G191" s="464">
        <v>200000</v>
      </c>
      <c r="H191" s="92" t="s">
        <v>1229</v>
      </c>
    </row>
    <row r="192" spans="1:10" s="92" customFormat="1" ht="16" x14ac:dyDescent="0.2">
      <c r="A192" s="92" t="s">
        <v>1230</v>
      </c>
      <c r="B192" s="607"/>
      <c r="C192" s="607"/>
      <c r="D192" s="607"/>
      <c r="E192" s="607"/>
      <c r="F192" s="607"/>
      <c r="G192" s="463">
        <f>-1.5%*G191</f>
        <v>-3000</v>
      </c>
      <c r="H192" s="92" t="s">
        <v>2772</v>
      </c>
      <c r="J192" s="92" t="s">
        <v>2771</v>
      </c>
    </row>
    <row r="193" spans="1:13" s="92" customFormat="1" ht="16" x14ac:dyDescent="0.2">
      <c r="B193" s="607"/>
      <c r="C193" s="607"/>
      <c r="D193" s="607"/>
      <c r="E193" s="607"/>
      <c r="F193" s="607"/>
      <c r="G193" s="461">
        <f>G191+G192</f>
        <v>197000</v>
      </c>
      <c r="H193" s="92" t="s">
        <v>1231</v>
      </c>
      <c r="I193" s="92" t="s">
        <v>2773</v>
      </c>
    </row>
    <row r="194" spans="1:13" s="92" customFormat="1" ht="17" thickBot="1" x14ac:dyDescent="0.25"/>
    <row r="195" spans="1:13" s="307" customFormat="1" ht="16" x14ac:dyDescent="0.2">
      <c r="A195" s="630" t="s">
        <v>2781</v>
      </c>
      <c r="J195" s="307" t="s">
        <v>2774</v>
      </c>
    </row>
    <row r="196" spans="1:13" s="307" customFormat="1" ht="16" x14ac:dyDescent="0.2">
      <c r="A196" s="710">
        <v>0.106599</v>
      </c>
      <c r="B196" s="712" t="s">
        <v>2780</v>
      </c>
      <c r="C196" s="626">
        <f>-B191</f>
        <v>218000.00000000003</v>
      </c>
      <c r="D196" s="712" t="s">
        <v>1233</v>
      </c>
      <c r="E196" s="712">
        <v>-1</v>
      </c>
      <c r="F196" s="626" t="s">
        <v>2779</v>
      </c>
      <c r="G196" s="712" t="s">
        <v>1234</v>
      </c>
      <c r="I196" s="307" t="s">
        <v>2140</v>
      </c>
      <c r="J196" s="307" t="s">
        <v>2775</v>
      </c>
    </row>
    <row r="197" spans="1:13" s="307" customFormat="1" ht="17" thickBot="1" x14ac:dyDescent="0.25">
      <c r="A197" s="711"/>
      <c r="B197" s="712"/>
      <c r="C197" s="627">
        <f>G193</f>
        <v>197000</v>
      </c>
      <c r="D197" s="712"/>
      <c r="E197" s="712"/>
      <c r="F197" s="628" t="s">
        <v>1083</v>
      </c>
      <c r="G197" s="712"/>
      <c r="I197" s="629" t="s">
        <v>2777</v>
      </c>
      <c r="J197" s="629" t="s">
        <v>2776</v>
      </c>
      <c r="K197" s="629"/>
      <c r="L197" s="629"/>
      <c r="M197" s="629"/>
    </row>
    <row r="198" spans="1:13" s="307" customFormat="1" ht="16" x14ac:dyDescent="0.2"/>
    <row r="199" spans="1:13" s="307" customFormat="1" ht="16" x14ac:dyDescent="0.2">
      <c r="A199" s="307" t="s">
        <v>1236</v>
      </c>
    </row>
    <row r="200" spans="1:13" s="307" customFormat="1" ht="16" x14ac:dyDescent="0.2">
      <c r="A200" s="307" t="s">
        <v>1237</v>
      </c>
    </row>
    <row r="201" spans="1:13" s="307" customFormat="1" ht="16" x14ac:dyDescent="0.2"/>
    <row r="202" spans="1:13" s="307" customFormat="1" ht="16" x14ac:dyDescent="0.2">
      <c r="A202" s="307" t="s">
        <v>2782</v>
      </c>
    </row>
    <row r="203" spans="1:13" s="307" customFormat="1" ht="16" x14ac:dyDescent="0.2">
      <c r="A203" s="307" t="s">
        <v>2783</v>
      </c>
    </row>
    <row r="204" spans="1:13" s="307" customFormat="1" ht="16" x14ac:dyDescent="0.2">
      <c r="F204" s="307" t="s">
        <v>2784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1188</v>
      </c>
      <c r="B207" s="129"/>
      <c r="C207" s="129"/>
      <c r="D207" s="129"/>
      <c r="E207" s="129"/>
      <c r="F207" s="129" t="s">
        <v>780</v>
      </c>
      <c r="G207" s="129"/>
      <c r="H207" s="129"/>
    </row>
    <row r="208" spans="1:13" s="92" customFormat="1" ht="16" x14ac:dyDescent="0.2">
      <c r="A208" s="92" t="s">
        <v>1240</v>
      </c>
    </row>
    <row r="209" spans="1:8" s="92" customFormat="1" ht="16" x14ac:dyDescent="0.2">
      <c r="A209" s="92" t="s">
        <v>1190</v>
      </c>
    </row>
    <row r="210" spans="1:8" s="92" customFormat="1" ht="16" x14ac:dyDescent="0.2"/>
    <row r="211" spans="1:8" s="92" customFormat="1" ht="16" x14ac:dyDescent="0.2">
      <c r="A211" s="92" t="s">
        <v>1191</v>
      </c>
    </row>
    <row r="212" spans="1:8" s="92" customFormat="1" ht="16" x14ac:dyDescent="0.2">
      <c r="A212" s="92" t="s">
        <v>1192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1193</v>
      </c>
      <c r="G215" s="105">
        <v>100</v>
      </c>
      <c r="H215" s="92" t="s">
        <v>1183</v>
      </c>
    </row>
    <row r="216" spans="1:8" s="92" customFormat="1" ht="16" x14ac:dyDescent="0.2">
      <c r="G216" s="105">
        <v>-6</v>
      </c>
      <c r="H216" s="92" t="s">
        <v>1241</v>
      </c>
    </row>
    <row r="217" spans="1:8" s="92" customFormat="1" ht="16" x14ac:dyDescent="0.2">
      <c r="G217" s="142">
        <f>G215+G216</f>
        <v>94</v>
      </c>
      <c r="H217" s="92" t="s">
        <v>1184</v>
      </c>
    </row>
    <row r="218" spans="1:8" s="92" customFormat="1" ht="16" x14ac:dyDescent="0.2"/>
    <row r="219" spans="1:8" s="92" customFormat="1" ht="16" x14ac:dyDescent="0.2">
      <c r="A219" s="92" t="s">
        <v>1242</v>
      </c>
      <c r="G219" s="92" t="s">
        <v>1243</v>
      </c>
    </row>
    <row r="220" spans="1:8" s="92" customFormat="1" ht="16" x14ac:dyDescent="0.2">
      <c r="A220" s="92" t="s">
        <v>1244</v>
      </c>
    </row>
    <row r="221" spans="1:8" s="92" customFormat="1" ht="16" x14ac:dyDescent="0.2">
      <c r="A221" s="92" t="s">
        <v>1245</v>
      </c>
    </row>
    <row r="222" spans="1:8" s="92" customFormat="1" ht="16" x14ac:dyDescent="0.2"/>
    <row r="223" spans="1:8" s="92" customFormat="1" ht="16" x14ac:dyDescent="0.2">
      <c r="A223" s="92" t="s">
        <v>1246</v>
      </c>
      <c r="G223" s="92" t="s">
        <v>1195</v>
      </c>
    </row>
    <row r="224" spans="1:8" s="92" customFormat="1" ht="16" x14ac:dyDescent="0.2"/>
    <row r="225" spans="1:8" s="92" customFormat="1" ht="16" x14ac:dyDescent="0.2">
      <c r="A225" s="92" t="s">
        <v>1196</v>
      </c>
    </row>
    <row r="226" spans="1:8" s="92" customFormat="1" ht="16" x14ac:dyDescent="0.2">
      <c r="A226" s="92" t="s">
        <v>1197</v>
      </c>
    </row>
    <row r="227" spans="1:8" s="92" customFormat="1" ht="16" x14ac:dyDescent="0.2">
      <c r="A227" s="92" t="s">
        <v>1198</v>
      </c>
    </row>
    <row r="228" spans="1:8" s="92" customFormat="1" ht="16" x14ac:dyDescent="0.2">
      <c r="A228" s="92" t="s">
        <v>1199</v>
      </c>
    </row>
    <row r="229" spans="1:8" s="92" customFormat="1" ht="16" x14ac:dyDescent="0.2"/>
    <row r="230" spans="1:8" s="92" customFormat="1" ht="15" customHeight="1" x14ac:dyDescent="0.2">
      <c r="A230" s="129" t="s">
        <v>1200</v>
      </c>
      <c r="B230" s="129"/>
      <c r="C230" s="129"/>
      <c r="D230" s="129"/>
      <c r="E230" s="129"/>
      <c r="F230" s="129" t="s">
        <v>780</v>
      </c>
      <c r="G230" s="129"/>
      <c r="H230" s="129"/>
    </row>
    <row r="231" spans="1:8" s="92" customFormat="1" ht="16" x14ac:dyDescent="0.2">
      <c r="A231" s="92" t="s">
        <v>1201</v>
      </c>
    </row>
    <row r="232" spans="1:8" s="92" customFormat="1" ht="16" x14ac:dyDescent="0.2">
      <c r="A232" s="92" t="s">
        <v>1202</v>
      </c>
    </row>
    <row r="233" spans="1:8" s="92" customFormat="1" ht="16" x14ac:dyDescent="0.2">
      <c r="A233" s="92" t="s">
        <v>1203</v>
      </c>
    </row>
    <row r="234" spans="1:8" s="92" customFormat="1" ht="16" x14ac:dyDescent="0.2">
      <c r="A234" s="92" t="s">
        <v>1204</v>
      </c>
    </row>
    <row r="235" spans="1:8" s="92" customFormat="1" ht="16" x14ac:dyDescent="0.2"/>
    <row r="236" spans="1:8" s="92" customFormat="1" ht="16" x14ac:dyDescent="0.2">
      <c r="A236" s="92" t="s">
        <v>1205</v>
      </c>
      <c r="G236" s="92" t="s">
        <v>1066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1067</v>
      </c>
      <c r="B239" s="92" t="s">
        <v>1068</v>
      </c>
    </row>
    <row r="240" spans="1:8" s="92" customFormat="1" ht="16" x14ac:dyDescent="0.2">
      <c r="A240" s="105" t="s">
        <v>1062</v>
      </c>
      <c r="B240" s="92" t="s">
        <v>1069</v>
      </c>
    </row>
    <row r="241" spans="1:8" s="92" customFormat="1" ht="16" x14ac:dyDescent="0.2">
      <c r="A241" s="105" t="s">
        <v>69</v>
      </c>
      <c r="B241" s="92" t="s">
        <v>1070</v>
      </c>
    </row>
    <row r="242" spans="1:8" s="92" customFormat="1" ht="16" x14ac:dyDescent="0.2">
      <c r="A242" s="105" t="s">
        <v>1071</v>
      </c>
      <c r="B242" s="92" t="s">
        <v>1072</v>
      </c>
    </row>
    <row r="243" spans="1:8" s="92" customFormat="1" ht="16" x14ac:dyDescent="0.2"/>
    <row r="244" spans="1:8" s="92" customFormat="1" ht="16" x14ac:dyDescent="0.2">
      <c r="A244" s="92" t="s">
        <v>1206</v>
      </c>
    </row>
    <row r="245" spans="1:8" s="92" customFormat="1" ht="16" x14ac:dyDescent="0.2">
      <c r="A245" s="105" t="s">
        <v>695</v>
      </c>
      <c r="G245" s="92" t="s">
        <v>1207</v>
      </c>
    </row>
    <row r="246" spans="1:8" s="92" customFormat="1" ht="16" x14ac:dyDescent="0.2">
      <c r="A246" s="105" t="s">
        <v>696</v>
      </c>
      <c r="G246" s="92" t="s">
        <v>1208</v>
      </c>
    </row>
    <row r="247" spans="1:8" s="92" customFormat="1" ht="16" x14ac:dyDescent="0.2">
      <c r="A247" s="105" t="s">
        <v>1209</v>
      </c>
      <c r="G247" s="92" t="s">
        <v>1210</v>
      </c>
    </row>
    <row r="248" spans="1:8" s="92" customFormat="1" ht="17" thickBot="1" x14ac:dyDescent="0.25"/>
    <row r="249" spans="1:8" s="92" customFormat="1" ht="16" x14ac:dyDescent="0.2">
      <c r="A249" s="239" t="s">
        <v>1247</v>
      </c>
      <c r="B249" s="486"/>
      <c r="C249" s="486"/>
      <c r="D249" s="486"/>
      <c r="E249" s="486"/>
      <c r="F249" s="486"/>
      <c r="G249" s="486"/>
      <c r="H249" s="487"/>
    </row>
    <row r="250" spans="1:8" s="92" customFormat="1" ht="17" thickBot="1" x14ac:dyDescent="0.25">
      <c r="A250" s="244" t="s">
        <v>1248</v>
      </c>
      <c r="B250" s="488"/>
      <c r="C250" s="488"/>
      <c r="D250" s="488"/>
      <c r="E250" s="488"/>
      <c r="F250" s="488"/>
      <c r="G250" s="488"/>
      <c r="H250" s="489"/>
    </row>
    <row r="251" spans="1:8" s="92" customFormat="1" ht="16" x14ac:dyDescent="0.2"/>
    <row r="252" spans="1:8" s="92" customFormat="1" ht="16" x14ac:dyDescent="0.2">
      <c r="A252" s="92" t="s">
        <v>1249</v>
      </c>
    </row>
    <row r="253" spans="1:8" s="92" customFormat="1" ht="16" x14ac:dyDescent="0.2"/>
    <row r="254" spans="1:8" s="92" customFormat="1" ht="16" x14ac:dyDescent="0.2">
      <c r="A254" s="105" t="s">
        <v>1062</v>
      </c>
      <c r="B254" s="92" t="s">
        <v>1250</v>
      </c>
      <c r="G254" s="92" t="s">
        <v>1164</v>
      </c>
    </row>
    <row r="255" spans="1:8" s="92" customFormat="1" ht="16" x14ac:dyDescent="0.2">
      <c r="A255" s="105" t="s">
        <v>69</v>
      </c>
      <c r="B255" s="92" t="s">
        <v>1251</v>
      </c>
    </row>
    <row r="256" spans="1:8" s="92" customFormat="1" ht="16" x14ac:dyDescent="0.2">
      <c r="B256" s="92" t="s">
        <v>1252</v>
      </c>
    </row>
    <row r="257" spans="1:7" s="92" customFormat="1" ht="16" x14ac:dyDescent="0.2">
      <c r="A257" s="105" t="s">
        <v>1071</v>
      </c>
      <c r="B257" s="92" t="s">
        <v>1253</v>
      </c>
    </row>
    <row r="258" spans="1:7" s="92" customFormat="1" ht="16" x14ac:dyDescent="0.2">
      <c r="E258" s="490">
        <f>(1+6%/6)^3-1</f>
        <v>3.0300999999999911E-2</v>
      </c>
      <c r="G258" s="92" t="s">
        <v>1254</v>
      </c>
    </row>
    <row r="259" spans="1:7" s="92" customFormat="1" ht="16" x14ac:dyDescent="0.2"/>
    <row r="260" spans="1:7" s="92" customFormat="1" ht="16" x14ac:dyDescent="0.2">
      <c r="D260" s="92" t="s">
        <v>1255</v>
      </c>
    </row>
    <row r="261" spans="1:7" s="92" customFormat="1" ht="16" x14ac:dyDescent="0.2"/>
    <row r="262" spans="1:7" s="92" customFormat="1" ht="16" x14ac:dyDescent="0.2">
      <c r="A262" s="92" t="s">
        <v>1256</v>
      </c>
    </row>
    <row r="263" spans="1:7" s="92" customFormat="1" ht="16" x14ac:dyDescent="0.2"/>
    <row r="264" spans="1:7" s="92" customFormat="1" ht="16" x14ac:dyDescent="0.2">
      <c r="E264" s="92" t="s">
        <v>1257</v>
      </c>
    </row>
    <row r="265" spans="1:7" s="92" customFormat="1" ht="16" x14ac:dyDescent="0.2">
      <c r="G265" s="92" t="s">
        <v>1164</v>
      </c>
    </row>
    <row r="266" spans="1:7" s="92" customFormat="1" ht="16" x14ac:dyDescent="0.2">
      <c r="E266" s="490">
        <f>(1+8%/3)^12-1</f>
        <v>0.37136651622457317</v>
      </c>
      <c r="G266" s="92" t="s">
        <v>1258</v>
      </c>
    </row>
    <row r="267" spans="1:7" s="92" customFormat="1" ht="16" x14ac:dyDescent="0.2">
      <c r="A267" s="105" t="s">
        <v>1062</v>
      </c>
      <c r="B267" s="92" t="s">
        <v>1250</v>
      </c>
    </row>
    <row r="268" spans="1:7" s="92" customFormat="1" ht="16" x14ac:dyDescent="0.2">
      <c r="A268" s="105" t="s">
        <v>69</v>
      </c>
      <c r="B268" s="92" t="s">
        <v>1251</v>
      </c>
    </row>
    <row r="269" spans="1:7" s="92" customFormat="1" ht="16" x14ac:dyDescent="0.2">
      <c r="A269" s="105" t="s">
        <v>1071</v>
      </c>
      <c r="B269" s="92" t="s">
        <v>1259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2717</v>
      </c>
      <c r="B275" s="129"/>
      <c r="C275" s="129"/>
      <c r="D275" s="485" t="s">
        <v>1261</v>
      </c>
      <c r="E275" s="129"/>
      <c r="F275" s="129"/>
      <c r="G275" s="129"/>
      <c r="H275" s="129"/>
    </row>
    <row r="276" spans="1:8" s="92" customFormat="1" ht="16" x14ac:dyDescent="0.2">
      <c r="A276" s="92" t="s">
        <v>1212</v>
      </c>
    </row>
    <row r="277" spans="1:8" s="92" customFormat="1" ht="16" x14ac:dyDescent="0.2">
      <c r="A277" s="92" t="s">
        <v>1213</v>
      </c>
    </row>
    <row r="278" spans="1:8" s="92" customFormat="1" ht="16" x14ac:dyDescent="0.2"/>
    <row r="279" spans="1:8" s="92" customFormat="1" ht="16" x14ac:dyDescent="0.2">
      <c r="A279" s="92" t="s">
        <v>1205</v>
      </c>
      <c r="G279" s="92" t="s">
        <v>1066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1067</v>
      </c>
      <c r="B282" s="92" t="s">
        <v>1068</v>
      </c>
    </row>
    <row r="283" spans="1:8" s="92" customFormat="1" ht="16" x14ac:dyDescent="0.2">
      <c r="A283" s="105" t="s">
        <v>1062</v>
      </c>
      <c r="B283" s="92" t="s">
        <v>1069</v>
      </c>
    </row>
    <row r="284" spans="1:8" s="92" customFormat="1" ht="16" x14ac:dyDescent="0.2">
      <c r="A284" s="105" t="s">
        <v>69</v>
      </c>
      <c r="B284" s="92" t="s">
        <v>1070</v>
      </c>
    </row>
    <row r="285" spans="1:8" s="92" customFormat="1" ht="16" x14ac:dyDescent="0.2">
      <c r="A285" s="105" t="s">
        <v>1071</v>
      </c>
      <c r="B285" s="92" t="s">
        <v>1072</v>
      </c>
    </row>
    <row r="286" spans="1:8" s="92" customFormat="1" ht="16" x14ac:dyDescent="0.2"/>
    <row r="287" spans="1:8" s="92" customFormat="1" ht="16" x14ac:dyDescent="0.2">
      <c r="A287" s="92" t="s">
        <v>1214</v>
      </c>
      <c r="E287" s="134">
        <f>1.01^6-1</f>
        <v>6.1520150601000134E-2</v>
      </c>
      <c r="G287" s="92" t="s">
        <v>1215</v>
      </c>
    </row>
    <row r="288" spans="1:8" s="92" customFormat="1" ht="16" x14ac:dyDescent="0.2"/>
    <row r="289" spans="1:8" s="92" customFormat="1" ht="16" x14ac:dyDescent="0.2">
      <c r="A289" s="92" t="s">
        <v>1216</v>
      </c>
    </row>
    <row r="290" spans="1:8" s="92" customFormat="1" ht="16" x14ac:dyDescent="0.2">
      <c r="A290" s="92" t="s">
        <v>1217</v>
      </c>
    </row>
    <row r="291" spans="1:8" s="92" customFormat="1" ht="16" x14ac:dyDescent="0.2">
      <c r="A291" s="92" t="s">
        <v>1218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2718</v>
      </c>
      <c r="B294" s="129"/>
      <c r="C294" s="129"/>
      <c r="D294" s="129"/>
      <c r="E294" s="129"/>
      <c r="F294" s="129" t="s">
        <v>780</v>
      </c>
      <c r="G294" s="129"/>
      <c r="H294" s="129"/>
    </row>
    <row r="295" spans="1:8" s="92" customFormat="1" ht="16" x14ac:dyDescent="0.2">
      <c r="A295" s="92" t="s">
        <v>1262</v>
      </c>
    </row>
    <row r="296" spans="1:8" s="92" customFormat="1" ht="16" x14ac:dyDescent="0.2"/>
    <row r="297" spans="1:8" s="92" customFormat="1" ht="16" x14ac:dyDescent="0.2">
      <c r="A297" s="93" t="s">
        <v>1263</v>
      </c>
    </row>
    <row r="298" spans="1:8" s="92" customFormat="1" ht="16" x14ac:dyDescent="0.2">
      <c r="G298" s="105" t="s">
        <v>67</v>
      </c>
      <c r="H298" s="92" t="s">
        <v>1264</v>
      </c>
    </row>
    <row r="299" spans="1:8" s="92" customFormat="1" ht="16" x14ac:dyDescent="0.2">
      <c r="F299" s="92" t="s">
        <v>1265</v>
      </c>
      <c r="G299" s="105" t="s">
        <v>1071</v>
      </c>
      <c r="H299" s="92" t="s">
        <v>1266</v>
      </c>
    </row>
    <row r="300" spans="1:8" s="92" customFormat="1" ht="16" x14ac:dyDescent="0.2">
      <c r="G300" s="105" t="s">
        <v>1067</v>
      </c>
      <c r="H300" s="92" t="s">
        <v>1267</v>
      </c>
    </row>
    <row r="301" spans="1:8" s="92" customFormat="1" ht="16" x14ac:dyDescent="0.2">
      <c r="A301" s="92" t="s">
        <v>1268</v>
      </c>
    </row>
    <row r="302" spans="1:8" s="92" customFormat="1" ht="16" x14ac:dyDescent="0.2">
      <c r="B302" s="92" t="s">
        <v>1269</v>
      </c>
    </row>
    <row r="303" spans="1:8" s="92" customFormat="1" ht="16" x14ac:dyDescent="0.2">
      <c r="B303" s="92" t="s">
        <v>1270</v>
      </c>
    </row>
    <row r="304" spans="1:8" s="92" customFormat="1" ht="16" x14ac:dyDescent="0.2"/>
    <row r="305" spans="1:8" s="92" customFormat="1" ht="16" x14ac:dyDescent="0.2">
      <c r="A305" s="129" t="s">
        <v>2719</v>
      </c>
      <c r="B305" s="129"/>
      <c r="C305" s="129"/>
      <c r="D305" s="129"/>
      <c r="E305" s="129"/>
      <c r="F305" s="129"/>
      <c r="G305" s="129" t="s">
        <v>2785</v>
      </c>
      <c r="H305" s="129"/>
    </row>
    <row r="306" spans="1:8" s="92" customFormat="1" ht="16" x14ac:dyDescent="0.2">
      <c r="A306" s="92" t="s">
        <v>1220</v>
      </c>
    </row>
    <row r="307" spans="1:8" s="92" customFormat="1" ht="16" x14ac:dyDescent="0.2">
      <c r="A307" s="92" t="s">
        <v>1221</v>
      </c>
    </row>
    <row r="308" spans="1:8" s="92" customFormat="1" ht="16" x14ac:dyDescent="0.2">
      <c r="A308" s="92" t="s">
        <v>1222</v>
      </c>
    </row>
    <row r="309" spans="1:8" s="92" customFormat="1" ht="16" x14ac:dyDescent="0.2">
      <c r="A309" s="92" t="s">
        <v>1223</v>
      </c>
    </row>
    <row r="310" spans="1:8" s="92" customFormat="1" ht="16" x14ac:dyDescent="0.2">
      <c r="A310" s="92" t="s">
        <v>1224</v>
      </c>
    </row>
    <row r="311" spans="1:8" s="92" customFormat="1" ht="16" x14ac:dyDescent="0.2"/>
    <row r="312" spans="1:8" s="92" customFormat="1" ht="16" x14ac:dyDescent="0.2">
      <c r="A312" s="93" t="s">
        <v>1225</v>
      </c>
    </row>
    <row r="313" spans="1:8" s="92" customFormat="1" ht="16" x14ac:dyDescent="0.2">
      <c r="A313" s="93" t="s">
        <v>1226</v>
      </c>
    </row>
    <row r="314" spans="1:8" s="92" customFormat="1" ht="16" x14ac:dyDescent="0.2">
      <c r="A314" s="93" t="s">
        <v>1227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1228</v>
      </c>
      <c r="B318" s="491">
        <f>-200000*1.09</f>
        <v>-218000.00000000003</v>
      </c>
      <c r="D318" s="92" t="s">
        <v>1271</v>
      </c>
      <c r="G318" s="112">
        <v>200000</v>
      </c>
      <c r="H318" s="92" t="s">
        <v>1272</v>
      </c>
    </row>
    <row r="319" spans="1:8" s="92" customFormat="1" ht="17" thickBot="1" x14ac:dyDescent="0.25">
      <c r="A319" s="92" t="s">
        <v>1230</v>
      </c>
      <c r="B319" s="142" t="s">
        <v>1273</v>
      </c>
      <c r="G319" s="112">
        <f>-1.5%*G318</f>
        <v>-3000</v>
      </c>
      <c r="H319" s="92" t="s">
        <v>1274</v>
      </c>
    </row>
    <row r="320" spans="1:8" s="92" customFormat="1" ht="17" thickBot="1" x14ac:dyDescent="0.25">
      <c r="G320" s="492">
        <f>G318+G319</f>
        <v>197000</v>
      </c>
      <c r="H320" s="92" t="s">
        <v>1231</v>
      </c>
    </row>
    <row r="321" spans="1:9" s="92" customFormat="1" ht="16" x14ac:dyDescent="0.2">
      <c r="G321" s="113" t="s">
        <v>1275</v>
      </c>
    </row>
    <row r="322" spans="1:9" s="92" customFormat="1" ht="16" x14ac:dyDescent="0.2">
      <c r="G322" s="142" t="s">
        <v>1276</v>
      </c>
    </row>
    <row r="323" spans="1:9" s="92" customFormat="1" ht="16" x14ac:dyDescent="0.2">
      <c r="A323" s="92" t="s">
        <v>1277</v>
      </c>
    </row>
    <row r="324" spans="1:9" s="92" customFormat="1" ht="16" x14ac:dyDescent="0.2">
      <c r="A324" s="92" t="s">
        <v>1278</v>
      </c>
    </row>
    <row r="325" spans="1:9" s="92" customFormat="1" ht="16" x14ac:dyDescent="0.2"/>
    <row r="326" spans="1:9" s="92" customFormat="1" ht="16" x14ac:dyDescent="0.2">
      <c r="A326" s="709">
        <v>0.106599</v>
      </c>
      <c r="B326" s="708" t="s">
        <v>1232</v>
      </c>
      <c r="C326" s="144">
        <f>-B318</f>
        <v>218000.00000000003</v>
      </c>
      <c r="D326" s="708" t="s">
        <v>1233</v>
      </c>
      <c r="E326" s="708">
        <v>-1</v>
      </c>
      <c r="F326" s="144" t="s">
        <v>1228</v>
      </c>
      <c r="G326" s="708" t="s">
        <v>1234</v>
      </c>
      <c r="H326" s="708" t="s">
        <v>1279</v>
      </c>
      <c r="I326" s="708"/>
    </row>
    <row r="327" spans="1:9" s="92" customFormat="1" ht="16" x14ac:dyDescent="0.2">
      <c r="A327" s="709"/>
      <c r="B327" s="708"/>
      <c r="C327" s="146">
        <f>G320</f>
        <v>197000</v>
      </c>
      <c r="D327" s="708"/>
      <c r="E327" s="708"/>
      <c r="F327" s="145" t="s">
        <v>1235</v>
      </c>
      <c r="G327" s="708"/>
      <c r="H327" s="708"/>
      <c r="I327" s="708"/>
    </row>
    <row r="328" spans="1:9" s="92" customFormat="1" ht="16" x14ac:dyDescent="0.2"/>
    <row r="329" spans="1:9" s="92" customFormat="1" ht="16" x14ac:dyDescent="0.2">
      <c r="A329" s="92" t="s">
        <v>1236</v>
      </c>
    </row>
    <row r="330" spans="1:9" s="92" customFormat="1" ht="16" x14ac:dyDescent="0.2">
      <c r="A330" s="92" t="s">
        <v>1237</v>
      </c>
    </row>
    <row r="332" spans="1:9" x14ac:dyDescent="0.2">
      <c r="A332" s="148" t="s">
        <v>1420</v>
      </c>
      <c r="B332" s="148" t="s">
        <v>1280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1281</v>
      </c>
    </row>
    <row r="334" spans="1:9" x14ac:dyDescent="0.2">
      <c r="A334" s="43" t="s">
        <v>1282</v>
      </c>
    </row>
    <row r="336" spans="1:9" x14ac:dyDescent="0.2">
      <c r="A336" s="43" t="s">
        <v>1283</v>
      </c>
      <c r="B336" s="43" t="s">
        <v>1284</v>
      </c>
    </row>
    <row r="337" spans="1:8" x14ac:dyDescent="0.2">
      <c r="B337" s="43" t="s">
        <v>1285</v>
      </c>
    </row>
    <row r="339" spans="1:8" x14ac:dyDescent="0.2">
      <c r="A339" s="43" t="s">
        <v>1286</v>
      </c>
      <c r="B339" s="43" t="s">
        <v>1287</v>
      </c>
    </row>
    <row r="340" spans="1:8" x14ac:dyDescent="0.2">
      <c r="B340" s="43" t="s">
        <v>1288</v>
      </c>
    </row>
    <row r="342" spans="1:8" x14ac:dyDescent="0.2">
      <c r="A342" s="44" t="s">
        <v>2786</v>
      </c>
    </row>
    <row r="343" spans="1:8" x14ac:dyDescent="0.2">
      <c r="A343" s="44"/>
    </row>
    <row r="344" spans="1:8" x14ac:dyDescent="0.2">
      <c r="A344" s="148" t="s">
        <v>1420</v>
      </c>
      <c r="B344" s="148" t="s">
        <v>1289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1290</v>
      </c>
    </row>
    <row r="346" spans="1:8" x14ac:dyDescent="0.2">
      <c r="A346" s="43" t="s">
        <v>1291</v>
      </c>
    </row>
    <row r="347" spans="1:8" x14ac:dyDescent="0.2">
      <c r="A347" s="44"/>
    </row>
    <row r="348" spans="1:8" x14ac:dyDescent="0.2">
      <c r="A348" s="44" t="s">
        <v>1283</v>
      </c>
      <c r="B348" s="44" t="s">
        <v>1292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1293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1294</v>
      </c>
      <c r="H350" s="44" t="s">
        <v>1295</v>
      </c>
    </row>
    <row r="351" spans="1:8" x14ac:dyDescent="0.2">
      <c r="A351" s="44"/>
      <c r="B351" s="44" t="s">
        <v>1296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1" t="s">
        <v>1297</v>
      </c>
      <c r="C353" s="494">
        <f>-4000*1.005^12</f>
        <v>-4246.7112474579908</v>
      </c>
      <c r="D353" s="444"/>
      <c r="E353" s="291" t="s">
        <v>2789</v>
      </c>
      <c r="F353" s="444"/>
      <c r="G353" s="296">
        <v>4000</v>
      </c>
      <c r="H353" s="43" t="s">
        <v>1229</v>
      </c>
    </row>
    <row r="354" spans="1:9" x14ac:dyDescent="0.2">
      <c r="A354" s="44"/>
      <c r="B354" s="444"/>
      <c r="C354" s="444"/>
      <c r="D354" s="444"/>
      <c r="E354" s="444"/>
      <c r="F354" s="444" t="s">
        <v>2787</v>
      </c>
      <c r="G354" s="296">
        <f>-2%*4000</f>
        <v>-80</v>
      </c>
      <c r="H354" s="43" t="s">
        <v>1298</v>
      </c>
      <c r="I354" s="43" t="s">
        <v>2788</v>
      </c>
    </row>
    <row r="355" spans="1:9" x14ac:dyDescent="0.2">
      <c r="A355" s="44"/>
      <c r="B355" s="444"/>
      <c r="C355" s="444"/>
      <c r="D355" s="444"/>
      <c r="E355" s="444"/>
      <c r="F355" s="444"/>
      <c r="G355" s="493">
        <f>G353+G354</f>
        <v>3920</v>
      </c>
      <c r="H355" s="43" t="s">
        <v>1299</v>
      </c>
      <c r="I355" s="43" t="s">
        <v>2773</v>
      </c>
    </row>
    <row r="356" spans="1:9" x14ac:dyDescent="0.2">
      <c r="A356" s="44"/>
    </row>
    <row r="357" spans="1:9" x14ac:dyDescent="0.2">
      <c r="A357" s="43" t="s">
        <v>1300</v>
      </c>
    </row>
    <row r="358" spans="1:9" x14ac:dyDescent="0.2">
      <c r="A358" s="44"/>
      <c r="F358" s="43" t="s">
        <v>1164</v>
      </c>
    </row>
    <row r="359" spans="1:9" x14ac:dyDescent="0.2">
      <c r="A359" s="44"/>
    </row>
    <row r="360" spans="1:9" x14ac:dyDescent="0.2">
      <c r="A360" s="43" t="s">
        <v>1301</v>
      </c>
    </row>
    <row r="361" spans="1:9" x14ac:dyDescent="0.2">
      <c r="A361" s="43" t="s">
        <v>1302</v>
      </c>
    </row>
    <row r="362" spans="1:9" x14ac:dyDescent="0.2">
      <c r="A362" s="43" t="s">
        <v>1303</v>
      </c>
    </row>
    <row r="363" spans="1:9" x14ac:dyDescent="0.2">
      <c r="A363" s="44"/>
    </row>
    <row r="364" spans="1:9" x14ac:dyDescent="0.2">
      <c r="A364" s="43" t="s">
        <v>1304</v>
      </c>
    </row>
    <row r="365" spans="1:9" x14ac:dyDescent="0.2">
      <c r="A365" s="43" t="s">
        <v>1305</v>
      </c>
    </row>
    <row r="366" spans="1:9" ht="16" thickBot="1" x14ac:dyDescent="0.25">
      <c r="A366" s="44"/>
      <c r="G366" s="43" t="s">
        <v>2790</v>
      </c>
    </row>
    <row r="367" spans="1:9" ht="16" thickBot="1" x14ac:dyDescent="0.25">
      <c r="A367" s="44" t="s">
        <v>2791</v>
      </c>
      <c r="E367" s="153">
        <f>-C353/G355-1</f>
        <v>8.3344705984181422E-2</v>
      </c>
      <c r="G367" s="43" t="s">
        <v>1306</v>
      </c>
    </row>
    <row r="368" spans="1:9" x14ac:dyDescent="0.2">
      <c r="A368" s="44"/>
    </row>
    <row r="369" spans="1:8" x14ac:dyDescent="0.2">
      <c r="A369" s="43" t="s">
        <v>1307</v>
      </c>
    </row>
    <row r="370" spans="1:8" x14ac:dyDescent="0.2">
      <c r="A370" s="43" t="s">
        <v>1308</v>
      </c>
    </row>
    <row r="371" spans="1:8" x14ac:dyDescent="0.2">
      <c r="A371" s="43" t="s">
        <v>1309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2793</v>
      </c>
      <c r="C374" s="47">
        <f>F374*1.09</f>
        <v>4360</v>
      </c>
      <c r="D374" s="47" t="s">
        <v>2794</v>
      </c>
      <c r="F374" s="48">
        <v>4000</v>
      </c>
      <c r="G374" s="43" t="s">
        <v>2773</v>
      </c>
      <c r="H374" s="43" t="s">
        <v>2792</v>
      </c>
    </row>
    <row r="376" spans="1:8" x14ac:dyDescent="0.2">
      <c r="A376" s="43" t="s">
        <v>2796</v>
      </c>
    </row>
    <row r="377" spans="1:8" x14ac:dyDescent="0.2">
      <c r="A377" s="43" t="s">
        <v>2797</v>
      </c>
    </row>
    <row r="378" spans="1:8" x14ac:dyDescent="0.2">
      <c r="G378" s="43" t="s">
        <v>2790</v>
      </c>
    </row>
    <row r="379" spans="1:8" x14ac:dyDescent="0.2">
      <c r="A379" s="43" t="s">
        <v>2798</v>
      </c>
      <c r="G379" s="43" t="s">
        <v>2795</v>
      </c>
    </row>
    <row r="380" spans="1:8" ht="16" thickBot="1" x14ac:dyDescent="0.25"/>
    <row r="381" spans="1:8" ht="16" thickBot="1" x14ac:dyDescent="0.25">
      <c r="A381" s="43" t="s">
        <v>2799</v>
      </c>
      <c r="E381" s="154">
        <v>0.09</v>
      </c>
      <c r="F381" s="43" t="s">
        <v>2800</v>
      </c>
    </row>
    <row r="383" spans="1:8" x14ac:dyDescent="0.2">
      <c r="A383" s="43" t="s">
        <v>1310</v>
      </c>
    </row>
    <row r="385" spans="1:8" x14ac:dyDescent="0.2">
      <c r="A385" s="148" t="s">
        <v>2720</v>
      </c>
      <c r="B385" s="148" t="s">
        <v>2801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1311</v>
      </c>
    </row>
    <row r="387" spans="1:8" x14ac:dyDescent="0.2">
      <c r="A387" s="43" t="s">
        <v>1312</v>
      </c>
    </row>
    <row r="388" spans="1:8" x14ac:dyDescent="0.2">
      <c r="A388" s="43" t="s">
        <v>1313</v>
      </c>
    </row>
    <row r="390" spans="1:8" x14ac:dyDescent="0.2">
      <c r="A390" s="43" t="s">
        <v>2803</v>
      </c>
    </row>
    <row r="392" spans="1:8" x14ac:dyDescent="0.2">
      <c r="A392" s="148" t="s">
        <v>2720</v>
      </c>
      <c r="B392" s="148" t="s">
        <v>1289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1314</v>
      </c>
    </row>
    <row r="394" spans="1:8" x14ac:dyDescent="0.2">
      <c r="A394" s="79" t="s">
        <v>1315</v>
      </c>
      <c r="B394" s="79"/>
      <c r="C394" s="79"/>
    </row>
    <row r="395" spans="1:8" x14ac:dyDescent="0.2">
      <c r="A395" s="43" t="s">
        <v>1316</v>
      </c>
    </row>
    <row r="396" spans="1:8" x14ac:dyDescent="0.2">
      <c r="A396" s="43" t="s">
        <v>1317</v>
      </c>
    </row>
    <row r="397" spans="1:8" x14ac:dyDescent="0.2">
      <c r="A397" s="43" t="s">
        <v>1318</v>
      </c>
    </row>
    <row r="398" spans="1:8" x14ac:dyDescent="0.2">
      <c r="A398" s="43" t="s">
        <v>1319</v>
      </c>
    </row>
    <row r="399" spans="1:8" ht="16" thickBot="1" x14ac:dyDescent="0.25"/>
    <row r="400" spans="1:8" x14ac:dyDescent="0.2">
      <c r="A400" s="324" t="s">
        <v>2802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1320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1321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1322</v>
      </c>
      <c r="C404" s="495">
        <f>RATE(C405,C407,C406,C408)</f>
        <v>2.5259796934031997E-3</v>
      </c>
      <c r="D404" s="43" t="s">
        <v>87</v>
      </c>
      <c r="F404" s="191" t="s">
        <v>1323</v>
      </c>
      <c r="G404" s="192"/>
      <c r="H404" s="193"/>
    </row>
    <row r="405" spans="1:8" x14ac:dyDescent="0.2">
      <c r="A405" s="43" t="s">
        <v>1324</v>
      </c>
      <c r="C405" s="29">
        <v>40</v>
      </c>
      <c r="D405" s="43" t="s">
        <v>89</v>
      </c>
      <c r="F405" s="194" t="s">
        <v>1325</v>
      </c>
      <c r="H405" s="195"/>
    </row>
    <row r="406" spans="1:8" x14ac:dyDescent="0.2">
      <c r="A406" s="43" t="s">
        <v>1326</v>
      </c>
      <c r="C406" s="296">
        <v>3800</v>
      </c>
      <c r="D406" s="43" t="s">
        <v>281</v>
      </c>
      <c r="F406" s="194" t="s">
        <v>1327</v>
      </c>
      <c r="H406" s="195"/>
    </row>
    <row r="407" spans="1:8" x14ac:dyDescent="0.2">
      <c r="A407" s="43" t="s">
        <v>1328</v>
      </c>
      <c r="C407" s="29">
        <v>-100</v>
      </c>
      <c r="D407" s="43" t="s">
        <v>91</v>
      </c>
      <c r="F407" s="196" t="s">
        <v>1329</v>
      </c>
      <c r="G407" s="59"/>
      <c r="H407" s="197"/>
    </row>
    <row r="408" spans="1:8" x14ac:dyDescent="0.2">
      <c r="A408" s="43" t="s">
        <v>1330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328</v>
      </c>
    </row>
    <row r="411" spans="1:8" x14ac:dyDescent="0.2">
      <c r="A411" s="47" t="s">
        <v>1211</v>
      </c>
      <c r="B411" s="43" t="s">
        <v>1331</v>
      </c>
    </row>
    <row r="412" spans="1:8" x14ac:dyDescent="0.2">
      <c r="B412" s="43" t="s">
        <v>1332</v>
      </c>
    </row>
    <row r="413" spans="1:8" x14ac:dyDescent="0.2">
      <c r="B413" s="43" t="s">
        <v>1333</v>
      </c>
    </row>
    <row r="415" spans="1:8" ht="16" thickBot="1" x14ac:dyDescent="0.25">
      <c r="A415" s="43" t="s">
        <v>1334</v>
      </c>
    </row>
    <row r="416" spans="1:8" ht="16" thickBot="1" x14ac:dyDescent="0.25">
      <c r="B416" s="157">
        <f>(1+C404)^12-1</f>
        <v>3.0736440183734448E-2</v>
      </c>
      <c r="D416" s="43" t="s">
        <v>1335</v>
      </c>
      <c r="F416" s="43" t="s">
        <v>2804</v>
      </c>
      <c r="G416" s="43" t="s">
        <v>1336</v>
      </c>
    </row>
    <row r="418" spans="1:8" x14ac:dyDescent="0.2">
      <c r="A418" s="79" t="s">
        <v>1337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1338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1339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2721</v>
      </c>
      <c r="B422" s="158"/>
      <c r="C422" s="158"/>
      <c r="D422" s="158"/>
      <c r="E422" s="158" t="s">
        <v>780</v>
      </c>
      <c r="F422" s="158"/>
      <c r="G422" s="158"/>
      <c r="H422" s="158"/>
    </row>
    <row r="423" spans="1:8" x14ac:dyDescent="0.2">
      <c r="A423" s="43" t="s">
        <v>1340</v>
      </c>
    </row>
    <row r="424" spans="1:8" x14ac:dyDescent="0.2">
      <c r="A424" s="43" t="s">
        <v>1341</v>
      </c>
    </row>
    <row r="425" spans="1:8" x14ac:dyDescent="0.2">
      <c r="A425" s="43" t="s">
        <v>1342</v>
      </c>
    </row>
    <row r="427" spans="1:8" x14ac:dyDescent="0.2">
      <c r="A427" s="158" t="s">
        <v>2721</v>
      </c>
      <c r="B427" s="158" t="s">
        <v>1289</v>
      </c>
      <c r="C427" s="158"/>
      <c r="D427" s="158"/>
      <c r="E427" s="158" t="s">
        <v>780</v>
      </c>
      <c r="F427" s="158"/>
      <c r="G427" s="158"/>
      <c r="H427" s="158"/>
    </row>
    <row r="428" spans="1:8" x14ac:dyDescent="0.2">
      <c r="A428" s="43" t="s">
        <v>1343</v>
      </c>
      <c r="E428" s="43" t="s">
        <v>1322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1344</v>
      </c>
      <c r="G429" s="47">
        <v>36</v>
      </c>
      <c r="H429" s="43" t="s">
        <v>89</v>
      </c>
    </row>
    <row r="430" spans="1:8" x14ac:dyDescent="0.2">
      <c r="E430" s="43" t="s">
        <v>1345</v>
      </c>
      <c r="G430" s="48">
        <v>5829</v>
      </c>
      <c r="H430" s="43" t="s">
        <v>281</v>
      </c>
    </row>
    <row r="431" spans="1:8" x14ac:dyDescent="0.2">
      <c r="E431" s="43" t="s">
        <v>1328</v>
      </c>
      <c r="G431" s="47">
        <v>-195</v>
      </c>
      <c r="H431" s="43" t="s">
        <v>91</v>
      </c>
    </row>
    <row r="432" spans="1:8" x14ac:dyDescent="0.2">
      <c r="E432" s="43" t="s">
        <v>1330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328</v>
      </c>
    </row>
    <row r="434" spans="1:8" ht="16" thickBot="1" x14ac:dyDescent="0.25">
      <c r="G434" s="47"/>
    </row>
    <row r="435" spans="1:8" ht="16" thickBot="1" x14ac:dyDescent="0.25">
      <c r="A435" s="43" t="s">
        <v>1346</v>
      </c>
      <c r="D435" s="159">
        <f>(1+G428)^12-1</f>
        <v>0.13241130228216647</v>
      </c>
      <c r="F435" s="43" t="s">
        <v>1347</v>
      </c>
      <c r="G435" s="47"/>
    </row>
    <row r="436" spans="1:8" x14ac:dyDescent="0.2">
      <c r="G436" s="47"/>
    </row>
    <row r="437" spans="1:8" x14ac:dyDescent="0.2">
      <c r="A437" s="148" t="s">
        <v>2722</v>
      </c>
      <c r="B437" s="148" t="s">
        <v>1348</v>
      </c>
      <c r="C437" s="148"/>
      <c r="D437" s="148"/>
      <c r="E437" s="148"/>
      <c r="F437" s="148"/>
      <c r="G437" s="148" t="s">
        <v>780</v>
      </c>
      <c r="H437" s="148"/>
    </row>
    <row r="438" spans="1:8" x14ac:dyDescent="0.2">
      <c r="A438" s="43" t="s">
        <v>1349</v>
      </c>
    </row>
    <row r="439" spans="1:8" x14ac:dyDescent="0.2">
      <c r="A439" s="43" t="s">
        <v>1350</v>
      </c>
    </row>
    <row r="440" spans="1:8" x14ac:dyDescent="0.2">
      <c r="A440" s="43" t="s">
        <v>1351</v>
      </c>
    </row>
    <row r="441" spans="1:8" x14ac:dyDescent="0.2">
      <c r="A441" s="43" t="s">
        <v>1352</v>
      </c>
    </row>
    <row r="443" spans="1:8" x14ac:dyDescent="0.2">
      <c r="A443" s="43" t="s">
        <v>1353</v>
      </c>
      <c r="B443" s="43" t="s">
        <v>1354</v>
      </c>
    </row>
    <row r="444" spans="1:8" x14ac:dyDescent="0.2">
      <c r="A444" s="43" t="s">
        <v>1355</v>
      </c>
      <c r="B444" s="43" t="s">
        <v>1356</v>
      </c>
    </row>
    <row r="445" spans="1:8" x14ac:dyDescent="0.2">
      <c r="A445" s="43" t="s">
        <v>1357</v>
      </c>
      <c r="B445" s="43" t="s">
        <v>1358</v>
      </c>
    </row>
    <row r="446" spans="1:8" x14ac:dyDescent="0.2">
      <c r="A446" s="43" t="s">
        <v>1359</v>
      </c>
      <c r="B446" s="43" t="s">
        <v>1360</v>
      </c>
    </row>
    <row r="447" spans="1:8" x14ac:dyDescent="0.2">
      <c r="A447" s="43" t="s">
        <v>1361</v>
      </c>
      <c r="B447" s="43" t="s">
        <v>1362</v>
      </c>
    </row>
    <row r="448" spans="1:8" x14ac:dyDescent="0.2">
      <c r="A448" s="43" t="s">
        <v>1363</v>
      </c>
      <c r="B448" s="43" t="s">
        <v>1364</v>
      </c>
    </row>
    <row r="450" spans="1:8" x14ac:dyDescent="0.2">
      <c r="A450" s="43" t="s">
        <v>1365</v>
      </c>
    </row>
    <row r="452" spans="1:8" x14ac:dyDescent="0.2">
      <c r="A452" s="148" t="s">
        <v>2722</v>
      </c>
      <c r="B452" s="148" t="s">
        <v>1289</v>
      </c>
      <c r="C452" s="148"/>
      <c r="D452" s="148"/>
      <c r="E452" s="148"/>
      <c r="F452" s="148" t="s">
        <v>780</v>
      </c>
      <c r="G452" s="148"/>
      <c r="H452" s="148"/>
    </row>
    <row r="453" spans="1:8" x14ac:dyDescent="0.2">
      <c r="A453" s="43" t="s">
        <v>1366</v>
      </c>
    </row>
    <row r="454" spans="1:8" x14ac:dyDescent="0.2">
      <c r="A454" s="43" t="s">
        <v>1367</v>
      </c>
    </row>
    <row r="456" spans="1:8" x14ac:dyDescent="0.2">
      <c r="A456" s="43" t="s">
        <v>1368</v>
      </c>
    </row>
    <row r="458" spans="1:8" ht="16" thickBot="1" x14ac:dyDescent="0.25">
      <c r="A458" s="43" t="s">
        <v>1353</v>
      </c>
      <c r="B458" s="43" t="s">
        <v>1354</v>
      </c>
    </row>
    <row r="459" spans="1:8" ht="16" thickBot="1" x14ac:dyDescent="0.25">
      <c r="B459" s="43" t="s">
        <v>1369</v>
      </c>
      <c r="H459" s="160">
        <v>7.0000000000000007E-2</v>
      </c>
    </row>
    <row r="461" spans="1:8" x14ac:dyDescent="0.2">
      <c r="A461" s="43" t="s">
        <v>1355</v>
      </c>
      <c r="B461" s="43" t="s">
        <v>1370</v>
      </c>
    </row>
    <row r="462" spans="1:8" x14ac:dyDescent="0.2">
      <c r="B462" s="43" t="s">
        <v>1371</v>
      </c>
    </row>
    <row r="463" spans="1:8" ht="16" thickBot="1" x14ac:dyDescent="0.25">
      <c r="B463" s="43" t="s">
        <v>1372</v>
      </c>
    </row>
    <row r="464" spans="1:8" ht="16" thickBot="1" x14ac:dyDescent="0.25">
      <c r="G464" s="43" t="s">
        <v>1373</v>
      </c>
      <c r="H464" s="159">
        <f>1.034^2-1</f>
        <v>6.9155999999999995E-2</v>
      </c>
    </row>
    <row r="466" spans="1:8" ht="16" thickBot="1" x14ac:dyDescent="0.25">
      <c r="A466" s="43" t="s">
        <v>1357</v>
      </c>
      <c r="B466" s="43" t="s">
        <v>1358</v>
      </c>
    </row>
    <row r="467" spans="1:8" ht="16" thickBot="1" x14ac:dyDescent="0.25">
      <c r="G467" s="43" t="s">
        <v>1374</v>
      </c>
      <c r="H467" s="159">
        <f>(1+6.8%/12)^12-1</f>
        <v>7.015988024972164E-2</v>
      </c>
    </row>
    <row r="469" spans="1:8" x14ac:dyDescent="0.2">
      <c r="A469" s="43" t="s">
        <v>1359</v>
      </c>
      <c r="B469" s="43" t="s">
        <v>1360</v>
      </c>
    </row>
    <row r="470" spans="1:8" x14ac:dyDescent="0.2">
      <c r="B470" s="43" t="s">
        <v>1375</v>
      </c>
    </row>
    <row r="471" spans="1:8" ht="16" thickBot="1" x14ac:dyDescent="0.25">
      <c r="B471" s="43" t="s">
        <v>1376</v>
      </c>
    </row>
    <row r="472" spans="1:8" ht="16" thickBot="1" x14ac:dyDescent="0.25">
      <c r="G472" s="43" t="s">
        <v>1377</v>
      </c>
      <c r="H472" s="159">
        <f>1.02^4-1</f>
        <v>8.2432159999999977E-2</v>
      </c>
    </row>
    <row r="474" spans="1:8" ht="16" thickBot="1" x14ac:dyDescent="0.25">
      <c r="A474" s="43" t="s">
        <v>1361</v>
      </c>
      <c r="B474" s="43" t="s">
        <v>1362</v>
      </c>
    </row>
    <row r="475" spans="1:8" ht="16" thickBot="1" x14ac:dyDescent="0.25">
      <c r="G475" s="43" t="s">
        <v>1378</v>
      </c>
      <c r="H475" s="159">
        <f>(1+6.5%/4)^4-1</f>
        <v>6.6601608791504452E-2</v>
      </c>
    </row>
    <row r="477" spans="1:8" ht="16" thickBot="1" x14ac:dyDescent="0.25">
      <c r="A477" s="43" t="s">
        <v>1363</v>
      </c>
      <c r="B477" s="43" t="s">
        <v>1364</v>
      </c>
    </row>
    <row r="478" spans="1:8" ht="16" thickBot="1" x14ac:dyDescent="0.25">
      <c r="G478" s="43" t="s">
        <v>1379</v>
      </c>
      <c r="H478" s="159">
        <f>(1+6%/365)^365-1</f>
        <v>6.1831310677866957E-2</v>
      </c>
    </row>
    <row r="480" spans="1:8" x14ac:dyDescent="0.2">
      <c r="A480" s="44" t="s">
        <v>1380</v>
      </c>
    </row>
    <row r="482" spans="1:10" x14ac:dyDescent="0.2">
      <c r="A482" s="158" t="s">
        <v>2805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2806</v>
      </c>
    </row>
    <row r="484" spans="1:10" x14ac:dyDescent="0.2">
      <c r="A484" s="43" t="s">
        <v>2807</v>
      </c>
    </row>
    <row r="485" spans="1:10" x14ac:dyDescent="0.2">
      <c r="A485" s="43" t="s">
        <v>2808</v>
      </c>
    </row>
    <row r="486" spans="1:10" x14ac:dyDescent="0.2">
      <c r="A486" s="43" t="s">
        <v>2809</v>
      </c>
    </row>
    <row r="487" spans="1:10" x14ac:dyDescent="0.2">
      <c r="A487" s="43" t="s">
        <v>2810</v>
      </c>
    </row>
    <row r="488" spans="1:10" x14ac:dyDescent="0.2">
      <c r="A488" s="43" t="s">
        <v>2811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2818</v>
      </c>
      <c r="C492" s="48">
        <f>-250000*(1+12%/12)^12</f>
        <v>-281706.25753299246</v>
      </c>
      <c r="E492" s="43" t="s">
        <v>2816</v>
      </c>
      <c r="G492" s="48">
        <v>250000</v>
      </c>
      <c r="H492" s="47" t="s">
        <v>2812</v>
      </c>
    </row>
    <row r="493" spans="1:10" x14ac:dyDescent="0.2">
      <c r="A493" s="43" t="s">
        <v>2819</v>
      </c>
      <c r="C493" s="48">
        <f>-250000*4%</f>
        <v>-10000</v>
      </c>
      <c r="E493" s="43" t="s">
        <v>2817</v>
      </c>
      <c r="G493" s="47">
        <f>-3%*G492</f>
        <v>-7500</v>
      </c>
      <c r="H493" s="43" t="s">
        <v>2813</v>
      </c>
      <c r="J493" s="43" t="s">
        <v>2814</v>
      </c>
    </row>
    <row r="494" spans="1:10" x14ac:dyDescent="0.2">
      <c r="A494" s="43" t="s">
        <v>2820</v>
      </c>
      <c r="C494" s="48">
        <v>1000</v>
      </c>
      <c r="G494" s="150">
        <f>G492+G493</f>
        <v>242500</v>
      </c>
      <c r="H494" s="43" t="s">
        <v>2815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2821</v>
      </c>
    </row>
    <row r="498" spans="1:8" x14ac:dyDescent="0.2">
      <c r="A498" s="43" t="s">
        <v>2822</v>
      </c>
    </row>
    <row r="499" spans="1:8" x14ac:dyDescent="0.2">
      <c r="G499" s="43" t="s">
        <v>1243</v>
      </c>
    </row>
    <row r="500" spans="1:8" x14ac:dyDescent="0.2">
      <c r="B500" s="44" t="s">
        <v>1752</v>
      </c>
      <c r="E500" s="632">
        <f>-C495/G494-1</f>
        <v>0.19878869085770079</v>
      </c>
      <c r="G500" s="43" t="s">
        <v>2823</v>
      </c>
    </row>
    <row r="505" spans="1:8" x14ac:dyDescent="0.2">
      <c r="A505" s="148" t="s">
        <v>2723</v>
      </c>
      <c r="B505" s="148" t="s">
        <v>1381</v>
      </c>
      <c r="C505" s="148"/>
      <c r="D505" s="148"/>
      <c r="E505" s="148"/>
      <c r="F505" s="148"/>
      <c r="G505" s="148" t="s">
        <v>780</v>
      </c>
      <c r="H505" s="148"/>
    </row>
    <row r="506" spans="1:8" x14ac:dyDescent="0.2">
      <c r="A506" s="43" t="s">
        <v>1382</v>
      </c>
    </row>
    <row r="507" spans="1:8" x14ac:dyDescent="0.2">
      <c r="A507" s="43" t="s">
        <v>1383</v>
      </c>
    </row>
    <row r="509" spans="1:8" x14ac:dyDescent="0.2">
      <c r="A509" s="43" t="s">
        <v>1384</v>
      </c>
      <c r="B509" s="43" t="s">
        <v>1385</v>
      </c>
    </row>
    <row r="510" spans="1:8" x14ac:dyDescent="0.2">
      <c r="A510" s="43" t="s">
        <v>1386</v>
      </c>
      <c r="B510" s="43" t="s">
        <v>1387</v>
      </c>
    </row>
    <row r="511" spans="1:8" x14ac:dyDescent="0.2">
      <c r="A511" s="43" t="s">
        <v>1357</v>
      </c>
      <c r="B511" s="43" t="s">
        <v>1388</v>
      </c>
    </row>
    <row r="512" spans="1:8" x14ac:dyDescent="0.2">
      <c r="A512" s="43" t="s">
        <v>1359</v>
      </c>
      <c r="B512" s="43" t="s">
        <v>1389</v>
      </c>
    </row>
    <row r="513" spans="1:8" x14ac:dyDescent="0.2">
      <c r="A513" s="43" t="s">
        <v>1361</v>
      </c>
      <c r="B513" s="43" t="s">
        <v>1390</v>
      </c>
    </row>
    <row r="515" spans="1:8" x14ac:dyDescent="0.2">
      <c r="A515" s="43" t="s">
        <v>1391</v>
      </c>
    </row>
    <row r="517" spans="1:8" x14ac:dyDescent="0.2">
      <c r="A517" s="148" t="s">
        <v>2723</v>
      </c>
      <c r="B517" s="148" t="s">
        <v>1289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611</v>
      </c>
      <c r="B518" s="77">
        <v>0.24</v>
      </c>
    </row>
    <row r="519" spans="1:8" x14ac:dyDescent="0.2">
      <c r="A519" s="43" t="s">
        <v>610</v>
      </c>
      <c r="B519" s="162">
        <f>(1+0.23/4)^4-1</f>
        <v>0.25060886878906308</v>
      </c>
      <c r="F519" s="43" t="s">
        <v>1392</v>
      </c>
    </row>
    <row r="520" spans="1:8" x14ac:dyDescent="0.2">
      <c r="A520" s="43" t="s">
        <v>1393</v>
      </c>
      <c r="B520" s="162">
        <f>940000/(940000-22%*940000)-1</f>
        <v>0.28205128205128216</v>
      </c>
      <c r="F520" s="43" t="s">
        <v>1394</v>
      </c>
    </row>
    <row r="521" spans="1:8" x14ac:dyDescent="0.2">
      <c r="A521" s="43" t="s">
        <v>1395</v>
      </c>
      <c r="B521" s="162">
        <f>(1+22%/12)^12-1</f>
        <v>0.24359657794448264</v>
      </c>
      <c r="F521" s="43" t="s">
        <v>1396</v>
      </c>
    </row>
    <row r="522" spans="1:8" x14ac:dyDescent="0.2">
      <c r="A522" s="43" t="s">
        <v>1397</v>
      </c>
      <c r="B522" s="156">
        <f>(940000-2%*940000)/(940000-25%*940000)-1</f>
        <v>0.30666666666666664</v>
      </c>
      <c r="F522" s="43" t="s">
        <v>1398</v>
      </c>
    </row>
    <row r="523" spans="1:8" x14ac:dyDescent="0.2">
      <c r="B523" s="156"/>
    </row>
    <row r="524" spans="1:8" x14ac:dyDescent="0.2">
      <c r="A524" s="44" t="s">
        <v>1399</v>
      </c>
      <c r="B524" s="156"/>
    </row>
    <row r="525" spans="1:8" x14ac:dyDescent="0.2">
      <c r="B525" s="156"/>
    </row>
    <row r="526" spans="1:8" x14ac:dyDescent="0.2">
      <c r="A526" s="43" t="s">
        <v>1400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1401</v>
      </c>
    </row>
    <row r="528" spans="1:8" x14ac:dyDescent="0.2">
      <c r="B528" s="156"/>
      <c r="C528" s="43" t="s">
        <v>1402</v>
      </c>
      <c r="D528" s="48">
        <f>2%*D527*-1</f>
        <v>18800</v>
      </c>
      <c r="F528" s="48">
        <f>-25%*F527</f>
        <v>-235000</v>
      </c>
      <c r="G528" s="43" t="s">
        <v>1403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1404</v>
      </c>
    </row>
    <row r="530" spans="1:8" x14ac:dyDescent="0.2">
      <c r="B530" s="156"/>
    </row>
    <row r="531" spans="1:8" x14ac:dyDescent="0.2">
      <c r="B531" s="156"/>
      <c r="F531" s="43" t="s">
        <v>1405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2724</v>
      </c>
      <c r="B535" s="148" t="s">
        <v>1406</v>
      </c>
      <c r="C535" s="148"/>
      <c r="D535" s="148"/>
      <c r="E535" s="148"/>
      <c r="F535" s="148"/>
      <c r="G535" s="148" t="s">
        <v>780</v>
      </c>
      <c r="H535" s="148"/>
    </row>
    <row r="536" spans="1:8" x14ac:dyDescent="0.2">
      <c r="A536" s="43" t="s">
        <v>1407</v>
      </c>
    </row>
    <row r="537" spans="1:8" x14ac:dyDescent="0.2">
      <c r="A537" s="43" t="s">
        <v>1408</v>
      </c>
    </row>
    <row r="539" spans="1:8" x14ac:dyDescent="0.2">
      <c r="A539" s="43" t="s">
        <v>1353</v>
      </c>
      <c r="B539" s="43" t="s">
        <v>1409</v>
      </c>
    </row>
    <row r="540" spans="1:8" x14ac:dyDescent="0.2">
      <c r="A540" s="43" t="s">
        <v>1355</v>
      </c>
      <c r="B540" s="43" t="s">
        <v>1410</v>
      </c>
    </row>
    <row r="541" spans="1:8" x14ac:dyDescent="0.2">
      <c r="A541" s="43" t="s">
        <v>1357</v>
      </c>
      <c r="B541" s="43" t="s">
        <v>1411</v>
      </c>
    </row>
    <row r="542" spans="1:8" x14ac:dyDescent="0.2">
      <c r="A542" s="43" t="s">
        <v>1359</v>
      </c>
      <c r="B542" s="43" t="s">
        <v>1412</v>
      </c>
    </row>
    <row r="543" spans="1:8" x14ac:dyDescent="0.2">
      <c r="A543" s="43" t="s">
        <v>1361</v>
      </c>
      <c r="B543" s="43" t="s">
        <v>1413</v>
      </c>
    </row>
    <row r="545" spans="1:8" x14ac:dyDescent="0.2">
      <c r="A545" s="43" t="s">
        <v>1414</v>
      </c>
    </row>
    <row r="547" spans="1:8" x14ac:dyDescent="0.2">
      <c r="A547" s="148" t="s">
        <v>2724</v>
      </c>
      <c r="B547" s="148" t="s">
        <v>1289</v>
      </c>
      <c r="C547" s="148"/>
      <c r="D547" s="148"/>
      <c r="E547" s="148"/>
      <c r="F547" s="148"/>
      <c r="G547" s="148" t="s">
        <v>780</v>
      </c>
      <c r="H547" s="148"/>
    </row>
    <row r="549" spans="1:8" x14ac:dyDescent="0.2">
      <c r="A549" s="43" t="s">
        <v>1353</v>
      </c>
      <c r="C549" s="151">
        <f>(1+4%/12)^12-1</f>
        <v>4.0741542919790819E-2</v>
      </c>
      <c r="E549" s="43" t="s">
        <v>1415</v>
      </c>
    </row>
    <row r="550" spans="1:8" x14ac:dyDescent="0.2">
      <c r="A550" s="43" t="s">
        <v>1355</v>
      </c>
      <c r="C550" s="165">
        <v>4.3999999999999997E-2</v>
      </c>
    </row>
    <row r="551" spans="1:8" x14ac:dyDescent="0.2">
      <c r="A551" s="43" t="s">
        <v>1357</v>
      </c>
      <c r="C551" s="161">
        <f>1.02^2-1</f>
        <v>4.0399999999999991E-2</v>
      </c>
      <c r="E551" s="43" t="s">
        <v>1416</v>
      </c>
    </row>
    <row r="552" spans="1:8" x14ac:dyDescent="0.2">
      <c r="A552" s="43" t="s">
        <v>1359</v>
      </c>
      <c r="C552" s="161">
        <f>1.01^4-1</f>
        <v>4.0604010000000024E-2</v>
      </c>
      <c r="E552" s="43" t="s">
        <v>1417</v>
      </c>
    </row>
    <row r="553" spans="1:8" x14ac:dyDescent="0.2">
      <c r="A553" s="43" t="s">
        <v>1361</v>
      </c>
      <c r="C553" s="161">
        <f>(1+3.5%/360)^360-1</f>
        <v>3.5617946923420796E-2</v>
      </c>
      <c r="E553" s="43" t="s">
        <v>1418</v>
      </c>
    </row>
    <row r="555" spans="1:8" x14ac:dyDescent="0.2">
      <c r="A555" s="43" t="s">
        <v>1419</v>
      </c>
    </row>
    <row r="557" spans="1:8" x14ac:dyDescent="0.2">
      <c r="A557" s="148" t="s">
        <v>2725</v>
      </c>
      <c r="B557" s="148" t="s">
        <v>1421</v>
      </c>
      <c r="C557" s="148"/>
      <c r="D557" s="148"/>
      <c r="E557" s="148"/>
      <c r="F557" s="148"/>
      <c r="G557" s="148" t="s">
        <v>780</v>
      </c>
      <c r="H557" s="148"/>
    </row>
    <row r="558" spans="1:8" x14ac:dyDescent="0.2">
      <c r="A558" s="43" t="s">
        <v>1422</v>
      </c>
    </row>
    <row r="559" spans="1:8" x14ac:dyDescent="0.2">
      <c r="A559" s="43" t="s">
        <v>1423</v>
      </c>
    </row>
    <row r="560" spans="1:8" x14ac:dyDescent="0.2">
      <c r="A560" s="43" t="s">
        <v>1424</v>
      </c>
    </row>
    <row r="562" spans="1:8" x14ac:dyDescent="0.2">
      <c r="A562" s="43" t="s">
        <v>1425</v>
      </c>
    </row>
    <row r="564" spans="1:8" x14ac:dyDescent="0.2">
      <c r="A564" s="148" t="s">
        <v>2725</v>
      </c>
      <c r="B564" s="148" t="s">
        <v>1289</v>
      </c>
      <c r="C564" s="148"/>
      <c r="D564" s="148"/>
      <c r="E564" s="148"/>
      <c r="F564" s="148"/>
      <c r="G564" s="148" t="s">
        <v>780</v>
      </c>
      <c r="H564" s="148"/>
    </row>
    <row r="566" spans="1:8" x14ac:dyDescent="0.2">
      <c r="B566" s="152">
        <f>(15000*(1+3%/3)^6)/(15000*0.99)-1</f>
        <v>7.2242576364646593E-2</v>
      </c>
      <c r="E566" s="43" t="s">
        <v>1426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1427</v>
      </c>
      <c r="C570" s="48">
        <f>-15000*1.01^6</f>
        <v>-15922.802259015001</v>
      </c>
      <c r="D570" s="47"/>
      <c r="E570" s="48">
        <v>15000</v>
      </c>
      <c r="F570" s="43" t="s">
        <v>1235</v>
      </c>
    </row>
    <row r="571" spans="1:8" x14ac:dyDescent="0.2">
      <c r="C571" s="47"/>
      <c r="D571" s="47"/>
      <c r="E571" s="47">
        <f>-1%*E570</f>
        <v>-150</v>
      </c>
      <c r="F571" s="43" t="s">
        <v>1428</v>
      </c>
    </row>
    <row r="572" spans="1:8" x14ac:dyDescent="0.2">
      <c r="C572" s="48"/>
      <c r="D572" s="47"/>
      <c r="E572" s="48">
        <f>E570+E571</f>
        <v>14850</v>
      </c>
      <c r="F572" s="43" t="s">
        <v>1299</v>
      </c>
    </row>
    <row r="574" spans="1:8" x14ac:dyDescent="0.2">
      <c r="C574" s="72">
        <f>B566</f>
        <v>7.2242576364646593E-2</v>
      </c>
      <c r="E574" s="43" t="s">
        <v>1429</v>
      </c>
    </row>
    <row r="576" spans="1:8" x14ac:dyDescent="0.2">
      <c r="A576" s="43" t="s">
        <v>1430</v>
      </c>
    </row>
    <row r="577" spans="1:8" x14ac:dyDescent="0.2">
      <c r="A577" s="43" t="s">
        <v>1431</v>
      </c>
    </row>
    <row r="578" spans="1:8" x14ac:dyDescent="0.2">
      <c r="A578" s="43" t="s">
        <v>1432</v>
      </c>
    </row>
    <row r="579" spans="1:8" x14ac:dyDescent="0.2">
      <c r="A579" s="43" t="s">
        <v>1433</v>
      </c>
    </row>
    <row r="580" spans="1:8" x14ac:dyDescent="0.2">
      <c r="A580" s="43" t="s">
        <v>1434</v>
      </c>
    </row>
    <row r="581" spans="1:8" x14ac:dyDescent="0.2">
      <c r="A581" s="43" t="s">
        <v>1435</v>
      </c>
    </row>
    <row r="582" spans="1:8" ht="16" thickBot="1" x14ac:dyDescent="0.25"/>
    <row r="583" spans="1:8" x14ac:dyDescent="0.2">
      <c r="A583" s="213" t="s">
        <v>2824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2825</v>
      </c>
      <c r="H585" s="217"/>
    </row>
    <row r="586" spans="1:8" x14ac:dyDescent="0.2">
      <c r="A586" s="323" t="s">
        <v>2826</v>
      </c>
      <c r="H586" s="217"/>
    </row>
    <row r="587" spans="1:8" x14ac:dyDescent="0.2">
      <c r="A587" s="323" t="s">
        <v>2827</v>
      </c>
      <c r="F587" s="43" t="s">
        <v>1164</v>
      </c>
      <c r="H587" s="217"/>
    </row>
    <row r="588" spans="1:8" x14ac:dyDescent="0.2">
      <c r="A588" s="323"/>
      <c r="H588" s="217"/>
    </row>
    <row r="589" spans="1:8" x14ac:dyDescent="0.2">
      <c r="A589" s="323" t="s">
        <v>2828</v>
      </c>
      <c r="H589" s="217"/>
    </row>
    <row r="590" spans="1:8" x14ac:dyDescent="0.2">
      <c r="A590" s="323"/>
      <c r="F590" s="43" t="s">
        <v>2829</v>
      </c>
      <c r="H590" s="217"/>
    </row>
    <row r="591" spans="1:8" x14ac:dyDescent="0.2">
      <c r="A591" s="323"/>
      <c r="H591" s="217"/>
    </row>
    <row r="592" spans="1:8" x14ac:dyDescent="0.2">
      <c r="A592" s="323" t="s">
        <v>2830</v>
      </c>
      <c r="H592" s="217"/>
    </row>
    <row r="593" spans="1:8" x14ac:dyDescent="0.2">
      <c r="A593" s="323" t="s">
        <v>2831</v>
      </c>
      <c r="H593" s="217"/>
    </row>
    <row r="594" spans="1:8" x14ac:dyDescent="0.2">
      <c r="A594" s="323" t="s">
        <v>2832</v>
      </c>
      <c r="H594" s="217"/>
    </row>
    <row r="595" spans="1:8" x14ac:dyDescent="0.2">
      <c r="A595" s="323" t="s">
        <v>2833</v>
      </c>
      <c r="H595" s="217"/>
    </row>
    <row r="596" spans="1:8" x14ac:dyDescent="0.2">
      <c r="A596" s="323"/>
      <c r="F596" s="43" t="s">
        <v>2790</v>
      </c>
      <c r="H596" s="217"/>
    </row>
    <row r="597" spans="1:8" x14ac:dyDescent="0.2">
      <c r="A597" s="323"/>
      <c r="H597" s="217"/>
    </row>
    <row r="598" spans="1:8" x14ac:dyDescent="0.2">
      <c r="A598" s="323" t="s">
        <v>2834</v>
      </c>
      <c r="H598" s="217"/>
    </row>
    <row r="599" spans="1:8" x14ac:dyDescent="0.2">
      <c r="A599" s="323" t="s">
        <v>2835</v>
      </c>
      <c r="H599" s="217"/>
    </row>
    <row r="600" spans="1:8" x14ac:dyDescent="0.2">
      <c r="A600" s="323" t="s">
        <v>2836</v>
      </c>
      <c r="H600" s="217"/>
    </row>
    <row r="601" spans="1:8" ht="16" thickBot="1" x14ac:dyDescent="0.25">
      <c r="A601" s="236" t="s">
        <v>2837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6" t="s">
        <v>2838</v>
      </c>
      <c r="B1" s="706"/>
      <c r="C1" s="706"/>
      <c r="D1" s="706"/>
      <c r="E1" s="706"/>
      <c r="F1" s="706"/>
      <c r="G1" s="706"/>
      <c r="H1" s="706"/>
    </row>
    <row r="3" spans="1:8" x14ac:dyDescent="0.2">
      <c r="A3" s="166" t="s">
        <v>1436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1437</v>
      </c>
    </row>
    <row r="5" spans="1:8" x14ac:dyDescent="0.2">
      <c r="A5" s="92" t="s">
        <v>1438</v>
      </c>
    </row>
    <row r="6" spans="1:8" x14ac:dyDescent="0.2">
      <c r="A6" s="92" t="s">
        <v>1439</v>
      </c>
    </row>
    <row r="7" spans="1:8" x14ac:dyDescent="0.2">
      <c r="A7" s="92" t="s">
        <v>1440</v>
      </c>
    </row>
    <row r="8" spans="1:8" x14ac:dyDescent="0.2">
      <c r="A8" s="92" t="s">
        <v>1441</v>
      </c>
    </row>
    <row r="10" spans="1:8" x14ac:dyDescent="0.2">
      <c r="A10" s="166" t="s">
        <v>1442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1443</v>
      </c>
    </row>
    <row r="12" spans="1:8" x14ac:dyDescent="0.2">
      <c r="A12" s="92" t="s">
        <v>1444</v>
      </c>
    </row>
    <row r="13" spans="1:8" x14ac:dyDescent="0.2">
      <c r="A13" s="92" t="s">
        <v>1445</v>
      </c>
    </row>
    <row r="14" spans="1:8" x14ac:dyDescent="0.2">
      <c r="A14" s="92" t="s">
        <v>1446</v>
      </c>
    </row>
    <row r="15" spans="1:8" x14ac:dyDescent="0.2">
      <c r="A15" s="92" t="s">
        <v>1447</v>
      </c>
    </row>
    <row r="17" spans="1:8" x14ac:dyDescent="0.2">
      <c r="A17" s="166" t="s">
        <v>1448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1449</v>
      </c>
    </row>
    <row r="19" spans="1:8" x14ac:dyDescent="0.2">
      <c r="A19" s="92" t="s">
        <v>1450</v>
      </c>
    </row>
    <row r="20" spans="1:8" x14ac:dyDescent="0.2">
      <c r="A20" s="92" t="s">
        <v>1451</v>
      </c>
    </row>
    <row r="21" spans="1:8" x14ac:dyDescent="0.2">
      <c r="A21" s="92" t="s">
        <v>1452</v>
      </c>
    </row>
    <row r="22" spans="1:8" x14ac:dyDescent="0.2">
      <c r="A22" s="92" t="s">
        <v>1453</v>
      </c>
    </row>
    <row r="23" spans="1:8" x14ac:dyDescent="0.2">
      <c r="A23" s="92" t="s">
        <v>1454</v>
      </c>
    </row>
    <row r="24" spans="1:8" x14ac:dyDescent="0.2">
      <c r="A24" s="92" t="s">
        <v>1455</v>
      </c>
    </row>
    <row r="25" spans="1:8" x14ac:dyDescent="0.2">
      <c r="A25" s="92" t="s">
        <v>1456</v>
      </c>
    </row>
    <row r="26" spans="1:8" x14ac:dyDescent="0.2">
      <c r="A26" s="92" t="s">
        <v>1457</v>
      </c>
    </row>
    <row r="27" spans="1:8" x14ac:dyDescent="0.2">
      <c r="A27" s="92" t="s">
        <v>1458</v>
      </c>
    </row>
    <row r="28" spans="1:8" x14ac:dyDescent="0.2">
      <c r="A28" s="92" t="s">
        <v>1459</v>
      </c>
    </row>
    <row r="29" spans="1:8" x14ac:dyDescent="0.2">
      <c r="A29" s="92" t="s">
        <v>1460</v>
      </c>
    </row>
    <row r="30" spans="1:8" x14ac:dyDescent="0.2">
      <c r="A30" s="92" t="s">
        <v>1461</v>
      </c>
    </row>
    <row r="31" spans="1:8" x14ac:dyDescent="0.2">
      <c r="A31" s="92" t="s">
        <v>1462</v>
      </c>
    </row>
    <row r="32" spans="1:8" x14ac:dyDescent="0.2">
      <c r="A32" s="92" t="s">
        <v>1463</v>
      </c>
    </row>
    <row r="33" spans="1:8" x14ac:dyDescent="0.2">
      <c r="A33" s="92" t="s">
        <v>1464</v>
      </c>
    </row>
    <row r="34" spans="1:8" x14ac:dyDescent="0.2">
      <c r="A34" s="92" t="s">
        <v>1465</v>
      </c>
    </row>
    <row r="35" spans="1:8" x14ac:dyDescent="0.2">
      <c r="A35" s="92" t="s">
        <v>1466</v>
      </c>
    </row>
    <row r="36" spans="1:8" x14ac:dyDescent="0.2">
      <c r="A36" s="92" t="s">
        <v>1467</v>
      </c>
    </row>
    <row r="37" spans="1:8" x14ac:dyDescent="0.2">
      <c r="A37" s="92" t="s">
        <v>1468</v>
      </c>
    </row>
    <row r="38" spans="1:8" x14ac:dyDescent="0.2">
      <c r="A38" s="92" t="s">
        <v>1469</v>
      </c>
    </row>
    <row r="40" spans="1:8" x14ac:dyDescent="0.2">
      <c r="A40" s="633" t="s">
        <v>2839</v>
      </c>
      <c r="B40" s="634"/>
      <c r="C40" s="634"/>
      <c r="D40" s="634"/>
      <c r="E40" s="634"/>
      <c r="F40" s="634"/>
      <c r="G40" s="634"/>
      <c r="H40" s="634"/>
    </row>
    <row r="42" spans="1:8" x14ac:dyDescent="0.2">
      <c r="B42" s="169" t="s">
        <v>1470</v>
      </c>
      <c r="C42" s="169" t="s">
        <v>1471</v>
      </c>
      <c r="D42" s="169" t="s">
        <v>1472</v>
      </c>
      <c r="E42" s="169" t="s">
        <v>1473</v>
      </c>
      <c r="F42" s="169" t="s">
        <v>1474</v>
      </c>
      <c r="G42" s="169" t="s">
        <v>1475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1476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2840</v>
      </c>
    </row>
    <row r="49" spans="1:8" x14ac:dyDescent="0.2">
      <c r="A49" s="92" t="s">
        <v>2841</v>
      </c>
    </row>
    <row r="50" spans="1:8" x14ac:dyDescent="0.2">
      <c r="A50" s="92" t="s">
        <v>2842</v>
      </c>
    </row>
    <row r="52" spans="1:8" x14ac:dyDescent="0.2">
      <c r="A52" s="92" t="s">
        <v>111</v>
      </c>
    </row>
    <row r="53" spans="1:8" x14ac:dyDescent="0.2">
      <c r="A53" s="93" t="s">
        <v>2843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1477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1478</v>
      </c>
    </row>
    <row r="57" spans="1:8" x14ac:dyDescent="0.2">
      <c r="A57" s="92" t="s">
        <v>1479</v>
      </c>
    </row>
    <row r="58" spans="1:8" x14ac:dyDescent="0.2">
      <c r="A58" s="92" t="s">
        <v>1480</v>
      </c>
    </row>
    <row r="59" spans="1:8" x14ac:dyDescent="0.2">
      <c r="A59" s="92" t="s">
        <v>1481</v>
      </c>
    </row>
    <row r="61" spans="1:8" x14ac:dyDescent="0.2">
      <c r="A61" s="93" t="s">
        <v>1482</v>
      </c>
    </row>
    <row r="62" spans="1:8" x14ac:dyDescent="0.2">
      <c r="A62" s="92" t="s">
        <v>1483</v>
      </c>
      <c r="D62" s="468">
        <v>4.0000000000000001E-3</v>
      </c>
      <c r="E62" s="92" t="s">
        <v>87</v>
      </c>
    </row>
    <row r="63" spans="1:8" x14ac:dyDescent="0.2">
      <c r="A63" s="92" t="s">
        <v>1484</v>
      </c>
      <c r="D63" s="463">
        <v>24</v>
      </c>
      <c r="E63" s="92" t="s">
        <v>89</v>
      </c>
    </row>
    <row r="64" spans="1:8" x14ac:dyDescent="0.2">
      <c r="A64" s="92" t="s">
        <v>1485</v>
      </c>
      <c r="D64" s="463">
        <v>4000</v>
      </c>
      <c r="E64" s="92" t="s">
        <v>281</v>
      </c>
    </row>
    <row r="65" spans="1:7" x14ac:dyDescent="0.2">
      <c r="A65" s="92" t="s">
        <v>1486</v>
      </c>
      <c r="D65" s="635">
        <f>PMT(D62,D63,D64,D66)</f>
        <v>-175.12750336261169</v>
      </c>
      <c r="E65" s="92" t="s">
        <v>91</v>
      </c>
    </row>
    <row r="66" spans="1:7" x14ac:dyDescent="0.2">
      <c r="A66" s="92" t="s">
        <v>1487</v>
      </c>
      <c r="D66" s="463">
        <v>0</v>
      </c>
      <c r="E66" s="92" t="s">
        <v>105</v>
      </c>
    </row>
    <row r="68" spans="1:7" x14ac:dyDescent="0.2">
      <c r="A68" s="93" t="s">
        <v>1488</v>
      </c>
    </row>
    <row r="69" spans="1:7" x14ac:dyDescent="0.2">
      <c r="A69" s="93"/>
    </row>
    <row r="70" spans="1:7" x14ac:dyDescent="0.2">
      <c r="D70" s="172" t="s">
        <v>1489</v>
      </c>
      <c r="E70" s="172" t="s">
        <v>1490</v>
      </c>
      <c r="F70" s="497" t="s">
        <v>1491</v>
      </c>
      <c r="G70" s="172" t="s">
        <v>1492</v>
      </c>
    </row>
    <row r="71" spans="1:7" x14ac:dyDescent="0.2">
      <c r="B71" s="169" t="s">
        <v>1470</v>
      </c>
      <c r="C71" s="169" t="s">
        <v>1471</v>
      </c>
      <c r="D71" s="169" t="s">
        <v>1472</v>
      </c>
      <c r="E71" s="169" t="s">
        <v>1473</v>
      </c>
      <c r="F71" s="498" t="s">
        <v>1474</v>
      </c>
      <c r="G71" s="169" t="s">
        <v>1475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36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2844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1493</v>
      </c>
    </row>
    <row r="101" spans="1:8" x14ac:dyDescent="0.2">
      <c r="A101" s="92" t="s">
        <v>1494</v>
      </c>
    </row>
    <row r="102" spans="1:8" x14ac:dyDescent="0.2">
      <c r="A102" s="92" t="s">
        <v>1495</v>
      </c>
    </row>
    <row r="103" spans="1:8" x14ac:dyDescent="0.2">
      <c r="A103" s="92" t="s">
        <v>321</v>
      </c>
    </row>
    <row r="104" spans="1:8" x14ac:dyDescent="0.2">
      <c r="A104" s="92" t="s">
        <v>1496</v>
      </c>
      <c r="E104" s="92" t="s">
        <v>1497</v>
      </c>
    </row>
    <row r="105" spans="1:8" x14ac:dyDescent="0.2">
      <c r="A105" s="92" t="s">
        <v>1498</v>
      </c>
      <c r="E105" s="92" t="s">
        <v>2845</v>
      </c>
    </row>
    <row r="106" spans="1:8" x14ac:dyDescent="0.2">
      <c r="A106" s="92" t="s">
        <v>1499</v>
      </c>
      <c r="E106" s="92" t="s">
        <v>2846</v>
      </c>
    </row>
    <row r="107" spans="1:8" x14ac:dyDescent="0.2">
      <c r="A107" s="92" t="s">
        <v>1500</v>
      </c>
      <c r="E107" s="92" t="s">
        <v>1501</v>
      </c>
    </row>
    <row r="109" spans="1:8" x14ac:dyDescent="0.2">
      <c r="A109" s="93" t="s">
        <v>1502</v>
      </c>
    </row>
    <row r="110" spans="1:8" x14ac:dyDescent="0.2">
      <c r="A110" s="92" t="s">
        <v>1503</v>
      </c>
      <c r="E110" s="468">
        <v>8.0000000000000002E-3</v>
      </c>
      <c r="F110" s="92" t="s">
        <v>87</v>
      </c>
    </row>
    <row r="111" spans="1:8" x14ac:dyDescent="0.2">
      <c r="A111" s="92" t="s">
        <v>1504</v>
      </c>
      <c r="E111" s="463">
        <f>10*12</f>
        <v>120</v>
      </c>
      <c r="F111" s="92" t="s">
        <v>89</v>
      </c>
    </row>
    <row r="112" spans="1:8" x14ac:dyDescent="0.2">
      <c r="A112" s="92" t="s">
        <v>1505</v>
      </c>
      <c r="E112" s="463">
        <v>7500</v>
      </c>
      <c r="F112" s="92" t="s">
        <v>281</v>
      </c>
    </row>
    <row r="113" spans="1:7" x14ac:dyDescent="0.2">
      <c r="A113" s="92" t="s">
        <v>1506</v>
      </c>
      <c r="E113" s="585">
        <f>PMT(E110,E111,E112,E114)</f>
        <v>-97.459268774618423</v>
      </c>
      <c r="F113" s="92" t="s">
        <v>91</v>
      </c>
    </row>
    <row r="114" spans="1:7" x14ac:dyDescent="0.2">
      <c r="A114" s="92" t="s">
        <v>1507</v>
      </c>
      <c r="E114" s="463">
        <v>0</v>
      </c>
      <c r="F114" s="92" t="s">
        <v>105</v>
      </c>
    </row>
    <row r="116" spans="1:7" x14ac:dyDescent="0.2">
      <c r="A116" s="93" t="s">
        <v>1508</v>
      </c>
    </row>
    <row r="117" spans="1:7" x14ac:dyDescent="0.2">
      <c r="A117" s="307" t="s">
        <v>1509</v>
      </c>
      <c r="B117" s="307"/>
      <c r="C117" s="307"/>
      <c r="D117" s="307"/>
      <c r="E117" s="468">
        <f>E110</f>
        <v>8.0000000000000002E-3</v>
      </c>
      <c r="F117" s="92" t="s">
        <v>87</v>
      </c>
    </row>
    <row r="118" spans="1:7" x14ac:dyDescent="0.2">
      <c r="A118" s="307" t="s">
        <v>1510</v>
      </c>
      <c r="B118" s="307"/>
      <c r="C118" s="307"/>
      <c r="D118" s="307"/>
      <c r="E118" s="463">
        <f>E111</f>
        <v>120</v>
      </c>
      <c r="F118" s="92" t="s">
        <v>89</v>
      </c>
    </row>
    <row r="119" spans="1:7" x14ac:dyDescent="0.2">
      <c r="A119" s="307" t="s">
        <v>1511</v>
      </c>
      <c r="B119" s="307"/>
      <c r="C119" s="307"/>
      <c r="D119" s="307"/>
      <c r="E119" s="463">
        <f>E112</f>
        <v>7500</v>
      </c>
      <c r="F119" s="92" t="s">
        <v>281</v>
      </c>
    </row>
    <row r="120" spans="1:7" ht="17" thickBot="1" x14ac:dyDescent="0.25">
      <c r="A120" s="307" t="s">
        <v>1507</v>
      </c>
      <c r="B120" s="307"/>
      <c r="C120" s="307"/>
      <c r="D120" s="307"/>
      <c r="E120" s="463">
        <f>E114</f>
        <v>0</v>
      </c>
      <c r="F120" s="92" t="s">
        <v>105</v>
      </c>
    </row>
    <row r="121" spans="1:7" ht="17" thickBot="1" x14ac:dyDescent="0.25">
      <c r="A121" s="307" t="s">
        <v>1512</v>
      </c>
      <c r="B121" s="307"/>
      <c r="C121" s="307"/>
      <c r="D121" s="307"/>
      <c r="E121" s="638">
        <v>28</v>
      </c>
      <c r="F121" s="125" t="s">
        <v>1513</v>
      </c>
      <c r="G121" s="637" t="s">
        <v>1514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5">
        <f>PPMT(E117,E121,E118,E119,E120)</f>
        <v>-46.450849667842007</v>
      </c>
      <c r="F122" s="92" t="s">
        <v>1515</v>
      </c>
    </row>
    <row r="124" spans="1:7" x14ac:dyDescent="0.2">
      <c r="A124" s="92" t="s">
        <v>2847</v>
      </c>
    </row>
    <row r="126" spans="1:7" x14ac:dyDescent="0.2">
      <c r="A126" s="93" t="s">
        <v>1516</v>
      </c>
    </row>
    <row r="127" spans="1:7" x14ac:dyDescent="0.2">
      <c r="A127" s="92" t="s">
        <v>1509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1510</v>
      </c>
      <c r="E128" s="105">
        <f>E118</f>
        <v>120</v>
      </c>
      <c r="F128" s="92" t="s">
        <v>89</v>
      </c>
    </row>
    <row r="129" spans="1:7" x14ac:dyDescent="0.2">
      <c r="A129" s="92" t="s">
        <v>1511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1507</v>
      </c>
      <c r="E130" s="105">
        <v>0</v>
      </c>
      <c r="F130" s="92" t="s">
        <v>105</v>
      </c>
    </row>
    <row r="131" spans="1:7" ht="17" thickBot="1" x14ac:dyDescent="0.25">
      <c r="A131" s="92" t="s">
        <v>1512</v>
      </c>
      <c r="E131" s="638">
        <v>94</v>
      </c>
      <c r="F131" s="640" t="s">
        <v>1513</v>
      </c>
      <c r="G131" s="641" t="s">
        <v>1514</v>
      </c>
    </row>
    <row r="132" spans="1:7" x14ac:dyDescent="0.2">
      <c r="E132" s="106">
        <f>IPMT(E127,E131,E128,E129,E130)</f>
        <v>-18.865379325624556</v>
      </c>
      <c r="F132" s="92" t="s">
        <v>1517</v>
      </c>
    </row>
    <row r="134" spans="1:7" x14ac:dyDescent="0.2">
      <c r="A134" s="92" t="s">
        <v>2848</v>
      </c>
    </row>
    <row r="136" spans="1:7" x14ac:dyDescent="0.2">
      <c r="A136" s="93" t="s">
        <v>1518</v>
      </c>
    </row>
    <row r="137" spans="1:7" x14ac:dyDescent="0.2">
      <c r="A137" s="642" t="s">
        <v>1519</v>
      </c>
      <c r="B137" s="642"/>
      <c r="C137" s="642"/>
      <c r="D137" s="642"/>
      <c r="E137" s="642"/>
      <c r="F137" s="642"/>
      <c r="G137" s="642"/>
    </row>
    <row r="138" spans="1:7" x14ac:dyDescent="0.2">
      <c r="A138" s="92" t="s">
        <v>1520</v>
      </c>
    </row>
    <row r="139" spans="1:7" x14ac:dyDescent="0.2">
      <c r="A139" s="92" t="s">
        <v>1521</v>
      </c>
      <c r="D139" s="105">
        <v>87</v>
      </c>
      <c r="E139" s="92" t="s">
        <v>1522</v>
      </c>
    </row>
    <row r="141" spans="1:7" x14ac:dyDescent="0.2">
      <c r="A141" s="93" t="s">
        <v>1523</v>
      </c>
    </row>
    <row r="143" spans="1:7" x14ac:dyDescent="0.2">
      <c r="A143" s="643" t="s">
        <v>1524</v>
      </c>
      <c r="B143" s="643"/>
      <c r="C143" s="643"/>
      <c r="D143" s="643"/>
    </row>
    <row r="144" spans="1:7" x14ac:dyDescent="0.2">
      <c r="A144" s="92" t="s">
        <v>2849</v>
      </c>
      <c r="E144" s="122">
        <v>8.0000000000000002E-3</v>
      </c>
      <c r="F144" s="92" t="s">
        <v>87</v>
      </c>
    </row>
    <row r="145" spans="1:7" x14ac:dyDescent="0.2">
      <c r="A145" s="92" t="s">
        <v>2850</v>
      </c>
      <c r="E145" s="105">
        <v>120</v>
      </c>
      <c r="F145" s="92" t="s">
        <v>89</v>
      </c>
    </row>
    <row r="146" spans="1:7" x14ac:dyDescent="0.2">
      <c r="A146" s="92" t="s">
        <v>2851</v>
      </c>
      <c r="E146" s="105">
        <v>7500</v>
      </c>
      <c r="F146" s="92" t="s">
        <v>281</v>
      </c>
    </row>
    <row r="147" spans="1:7" x14ac:dyDescent="0.2">
      <c r="A147" s="92" t="s">
        <v>2853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2852</v>
      </c>
      <c r="E148" s="105">
        <v>0</v>
      </c>
      <c r="F148" s="92" t="s">
        <v>105</v>
      </c>
    </row>
    <row r="150" spans="1:7" x14ac:dyDescent="0.2">
      <c r="A150" s="643" t="s">
        <v>1525</v>
      </c>
    </row>
    <row r="151" spans="1:7" ht="17" thickBot="1" x14ac:dyDescent="0.25">
      <c r="A151" s="92" t="s">
        <v>2854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2856</v>
      </c>
      <c r="E152" s="639">
        <f>120-33</f>
        <v>87</v>
      </c>
      <c r="F152" s="125" t="s">
        <v>89</v>
      </c>
      <c r="G152" s="126" t="s">
        <v>2855</v>
      </c>
    </row>
    <row r="153" spans="1:7" x14ac:dyDescent="0.2">
      <c r="A153" s="92" t="s">
        <v>1526</v>
      </c>
      <c r="E153" s="644">
        <f>PV(E151,E152,E154,E155)</f>
        <v>6091.7133734066838</v>
      </c>
      <c r="F153" s="92" t="s">
        <v>281</v>
      </c>
      <c r="G153" s="92" t="s">
        <v>2857</v>
      </c>
    </row>
    <row r="154" spans="1:7" x14ac:dyDescent="0.2">
      <c r="A154" s="92" t="s">
        <v>1527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2858</v>
      </c>
      <c r="E157" s="105"/>
    </row>
    <row r="158" spans="1:7" x14ac:dyDescent="0.2">
      <c r="E158" s="105"/>
    </row>
    <row r="159" spans="1:7" x14ac:dyDescent="0.2">
      <c r="A159" s="92" t="s">
        <v>1528</v>
      </c>
      <c r="E159" s="105"/>
    </row>
    <row r="160" spans="1:7" x14ac:dyDescent="0.2">
      <c r="A160" s="92" t="s">
        <v>1529</v>
      </c>
      <c r="E160" s="105"/>
    </row>
    <row r="161" spans="1:8" x14ac:dyDescent="0.2">
      <c r="A161" s="92" t="s">
        <v>1530</v>
      </c>
      <c r="E161" s="105"/>
    </row>
    <row r="162" spans="1:8" ht="17" thickBot="1" x14ac:dyDescent="0.25">
      <c r="E162" s="105"/>
    </row>
    <row r="163" spans="1:8" x14ac:dyDescent="0.2">
      <c r="A163" s="95" t="s">
        <v>2859</v>
      </c>
      <c r="B163" s="96"/>
      <c r="C163" s="96"/>
      <c r="D163" s="96"/>
      <c r="E163" s="478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2860</v>
      </c>
      <c r="D165" s="92" t="s">
        <v>2861</v>
      </c>
      <c r="E165" s="105"/>
      <c r="H165" s="99"/>
    </row>
    <row r="166" spans="1:8" x14ac:dyDescent="0.2">
      <c r="A166" s="98"/>
      <c r="B166" s="43" t="s">
        <v>2862</v>
      </c>
      <c r="D166" s="92" t="s">
        <v>1491</v>
      </c>
      <c r="E166" s="105"/>
      <c r="H166" s="99"/>
    </row>
    <row r="167" spans="1:8" x14ac:dyDescent="0.2">
      <c r="A167" s="98"/>
      <c r="B167" s="43" t="s">
        <v>2863</v>
      </c>
      <c r="D167" s="92" t="s">
        <v>2864</v>
      </c>
      <c r="E167" s="105"/>
      <c r="H167" s="99"/>
    </row>
    <row r="168" spans="1:8" x14ac:dyDescent="0.2">
      <c r="A168" s="98"/>
      <c r="B168" s="43" t="s">
        <v>2865</v>
      </c>
      <c r="D168" s="92" t="s">
        <v>2866</v>
      </c>
      <c r="E168" s="105"/>
      <c r="H168" s="99"/>
    </row>
    <row r="169" spans="1:8" ht="17" thickBot="1" x14ac:dyDescent="0.25">
      <c r="A169" s="100"/>
      <c r="B169" s="219" t="s">
        <v>2867</v>
      </c>
      <c r="C169" s="101"/>
      <c r="D169" s="101" t="s">
        <v>34</v>
      </c>
      <c r="E169" s="645" t="s">
        <v>2868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2873</v>
      </c>
      <c r="B171" s="125"/>
      <c r="C171" s="125"/>
      <c r="D171" s="125"/>
      <c r="E171" s="659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2874</v>
      </c>
      <c r="B173" s="660"/>
      <c r="C173" s="660"/>
      <c r="D173" s="660"/>
      <c r="E173" s="661"/>
      <c r="F173" s="660"/>
      <c r="G173" s="660"/>
      <c r="H173" s="662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2869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1531</v>
      </c>
    </row>
    <row r="179" spans="1:8" x14ac:dyDescent="0.2">
      <c r="A179" s="92" t="s">
        <v>2870</v>
      </c>
    </row>
    <row r="180" spans="1:8" x14ac:dyDescent="0.2">
      <c r="A180" s="92" t="s">
        <v>1532</v>
      </c>
    </row>
    <row r="181" spans="1:8" x14ac:dyDescent="0.2">
      <c r="A181" s="92" t="s">
        <v>1533</v>
      </c>
    </row>
    <row r="192" spans="1:8" ht="17" thickBot="1" x14ac:dyDescent="0.25"/>
    <row r="193" spans="1:8" x14ac:dyDescent="0.2">
      <c r="A193" s="103" t="s">
        <v>1536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1538</v>
      </c>
      <c r="C194" s="99"/>
      <c r="D194" s="646" t="s">
        <v>1534</v>
      </c>
      <c r="E194" s="128"/>
      <c r="F194" s="128"/>
      <c r="G194" s="128"/>
      <c r="H194" s="647"/>
    </row>
    <row r="195" spans="1:8" x14ac:dyDescent="0.2">
      <c r="A195" s="98" t="s">
        <v>2871</v>
      </c>
      <c r="C195" s="99"/>
      <c r="D195" s="646" t="s">
        <v>1535</v>
      </c>
      <c r="E195" s="128"/>
      <c r="F195" s="128"/>
      <c r="G195" s="128"/>
      <c r="H195" s="647" t="s">
        <v>2872</v>
      </c>
    </row>
    <row r="196" spans="1:8" x14ac:dyDescent="0.2">
      <c r="A196" s="98" t="s">
        <v>1541</v>
      </c>
      <c r="C196" s="99"/>
      <c r="D196" s="648" t="s">
        <v>1537</v>
      </c>
      <c r="E196" s="133"/>
      <c r="F196" s="133"/>
      <c r="G196" s="133"/>
      <c r="H196" s="649"/>
    </row>
    <row r="197" spans="1:8" x14ac:dyDescent="0.2">
      <c r="A197" s="98" t="s">
        <v>1543</v>
      </c>
      <c r="C197" s="99"/>
      <c r="D197" s="650" t="s">
        <v>1539</v>
      </c>
      <c r="E197" s="651"/>
      <c r="F197" s="651"/>
      <c r="G197" s="651"/>
      <c r="H197" s="652"/>
    </row>
    <row r="198" spans="1:8" x14ac:dyDescent="0.2">
      <c r="A198" s="98" t="s">
        <v>1545</v>
      </c>
      <c r="C198" s="99"/>
      <c r="D198" s="650" t="s">
        <v>1540</v>
      </c>
      <c r="E198" s="651"/>
      <c r="F198" s="651"/>
      <c r="G198" s="651"/>
      <c r="H198" s="652"/>
    </row>
    <row r="199" spans="1:8" ht="17" thickBot="1" x14ac:dyDescent="0.25">
      <c r="A199" s="653">
        <f>8%/12</f>
        <v>6.6666666666666671E-3</v>
      </c>
      <c r="B199" s="101" t="s">
        <v>1546</v>
      </c>
      <c r="C199" s="102"/>
      <c r="D199" s="499" t="s">
        <v>1542</v>
      </c>
      <c r="H199" s="99"/>
    </row>
    <row r="200" spans="1:8" ht="17" thickBot="1" x14ac:dyDescent="0.25">
      <c r="D200" s="500" t="s">
        <v>1544</v>
      </c>
      <c r="E200" s="101"/>
      <c r="F200" s="101"/>
      <c r="G200" s="101"/>
      <c r="H200" s="102"/>
    </row>
    <row r="202" spans="1:8" x14ac:dyDescent="0.2">
      <c r="D202" s="501" t="s">
        <v>1547</v>
      </c>
      <c r="G202" s="501" t="s">
        <v>1471</v>
      </c>
    </row>
    <row r="203" spans="1:8" x14ac:dyDescent="0.2">
      <c r="D203" s="501" t="s">
        <v>1548</v>
      </c>
      <c r="G203" s="501" t="s">
        <v>1549</v>
      </c>
    </row>
    <row r="204" spans="1:8" x14ac:dyDescent="0.2">
      <c r="D204" s="501" t="s">
        <v>1550</v>
      </c>
      <c r="G204" s="501" t="s">
        <v>1551</v>
      </c>
    </row>
    <row r="205" spans="1:8" x14ac:dyDescent="0.2">
      <c r="D205" s="654" t="s">
        <v>1489</v>
      </c>
      <c r="E205" s="520" t="s">
        <v>1552</v>
      </c>
      <c r="F205" s="657" t="s">
        <v>1553</v>
      </c>
      <c r="G205" s="172" t="s">
        <v>1492</v>
      </c>
    </row>
    <row r="206" spans="1:8" x14ac:dyDescent="0.2">
      <c r="B206" s="169" t="s">
        <v>1470</v>
      </c>
      <c r="C206" s="169" t="s">
        <v>1471</v>
      </c>
      <c r="D206" s="655" t="s">
        <v>1472</v>
      </c>
      <c r="E206" s="656" t="s">
        <v>1473</v>
      </c>
      <c r="F206" s="658" t="s">
        <v>1474</v>
      </c>
      <c r="G206" s="169" t="s">
        <v>1475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1554</v>
      </c>
      <c r="C221" s="175"/>
      <c r="D221" s="175"/>
      <c r="E221" s="175"/>
      <c r="F221" s="175"/>
      <c r="G221" s="175"/>
    </row>
    <row r="222" spans="1:7" x14ac:dyDescent="0.2">
      <c r="A222" s="92" t="s">
        <v>1555</v>
      </c>
      <c r="C222" s="175"/>
      <c r="D222" s="175"/>
      <c r="E222" s="175"/>
      <c r="F222" s="175"/>
      <c r="G222" s="175"/>
    </row>
    <row r="223" spans="1:7" x14ac:dyDescent="0.2">
      <c r="A223" s="92" t="s">
        <v>1556</v>
      </c>
      <c r="C223" s="175"/>
      <c r="D223" s="175"/>
      <c r="E223" s="175"/>
      <c r="F223" s="175"/>
      <c r="G223" s="175"/>
    </row>
    <row r="224" spans="1:7" x14ac:dyDescent="0.2">
      <c r="A224" s="92" t="s">
        <v>1557</v>
      </c>
      <c r="C224" s="175"/>
      <c r="D224" s="175"/>
      <c r="E224" s="175"/>
      <c r="F224" s="175"/>
      <c r="G224" s="175"/>
    </row>
    <row r="225" spans="1:11" x14ac:dyDescent="0.2">
      <c r="A225" s="92" t="s">
        <v>1558</v>
      </c>
      <c r="C225" s="175"/>
      <c r="D225" s="175"/>
      <c r="E225" s="175"/>
      <c r="F225" s="175"/>
      <c r="G225" s="175"/>
    </row>
    <row r="226" spans="1:11" x14ac:dyDescent="0.2">
      <c r="A226" s="92" t="s">
        <v>1559</v>
      </c>
      <c r="C226" s="175"/>
      <c r="D226" s="175"/>
      <c r="E226" s="175"/>
      <c r="F226" s="175"/>
      <c r="G226" s="175"/>
    </row>
    <row r="227" spans="1:11" x14ac:dyDescent="0.2">
      <c r="A227" s="92" t="s">
        <v>1560</v>
      </c>
      <c r="C227" s="175"/>
      <c r="D227" s="175"/>
      <c r="E227" s="175"/>
      <c r="F227" s="175"/>
      <c r="G227" s="175"/>
    </row>
    <row r="228" spans="1:11" x14ac:dyDescent="0.2">
      <c r="A228" s="92" t="s">
        <v>1561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1562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1563</v>
      </c>
    </row>
    <row r="233" spans="1:11" x14ac:dyDescent="0.2">
      <c r="A233" s="92" t="s">
        <v>1564</v>
      </c>
    </row>
    <row r="234" spans="1:11" x14ac:dyDescent="0.2">
      <c r="A234" s="92" t="s">
        <v>1565</v>
      </c>
    </row>
    <row r="236" spans="1:11" x14ac:dyDescent="0.2">
      <c r="A236" s="92" t="s">
        <v>1566</v>
      </c>
    </row>
    <row r="237" spans="1:11" ht="17" thickBot="1" x14ac:dyDescent="0.25">
      <c r="A237" s="92" t="s">
        <v>1567</v>
      </c>
    </row>
    <row r="238" spans="1:11" x14ac:dyDescent="0.2">
      <c r="A238" s="92" t="s">
        <v>1568</v>
      </c>
      <c r="G238" s="503" t="s">
        <v>1569</v>
      </c>
      <c r="H238" s="504"/>
      <c r="I238" s="504"/>
      <c r="J238" s="505">
        <f>C241</f>
        <v>3.0000000000000027E-2</v>
      </c>
      <c r="K238" s="506" t="s">
        <v>87</v>
      </c>
    </row>
    <row r="239" spans="1:11" x14ac:dyDescent="0.2">
      <c r="G239" s="507" t="s">
        <v>1570</v>
      </c>
      <c r="H239" s="508"/>
      <c r="I239" s="508"/>
      <c r="J239" s="508">
        <v>12</v>
      </c>
      <c r="K239" s="509" t="s">
        <v>89</v>
      </c>
    </row>
    <row r="240" spans="1:11" x14ac:dyDescent="0.2">
      <c r="G240" s="507" t="s">
        <v>1547</v>
      </c>
      <c r="H240" s="508"/>
      <c r="I240" s="508"/>
      <c r="J240" s="508">
        <v>500000</v>
      </c>
      <c r="K240" s="509" t="s">
        <v>281</v>
      </c>
    </row>
    <row r="241" spans="2:11" x14ac:dyDescent="0.2">
      <c r="C241" s="502">
        <f>1.12550881^0.25-1</f>
        <v>3.0000000000000027E-2</v>
      </c>
      <c r="G241" s="507" t="s">
        <v>1571</v>
      </c>
      <c r="H241" s="508"/>
      <c r="I241" s="508"/>
      <c r="J241" s="514">
        <f>PMT(J238,J239,J240,J242)</f>
        <v>-50231.042736481526</v>
      </c>
      <c r="K241" s="509" t="s">
        <v>91</v>
      </c>
    </row>
    <row r="242" spans="2:11" ht="17" thickBot="1" x14ac:dyDescent="0.25">
      <c r="G242" s="510" t="s">
        <v>1572</v>
      </c>
      <c r="H242" s="511"/>
      <c r="I242" s="511"/>
      <c r="J242" s="511">
        <v>0</v>
      </c>
      <c r="K242" s="512" t="s">
        <v>105</v>
      </c>
    </row>
    <row r="243" spans="2:11" x14ac:dyDescent="0.2">
      <c r="D243" s="105" t="s">
        <v>1515</v>
      </c>
      <c r="E243" s="105" t="s">
        <v>1517</v>
      </c>
      <c r="F243" s="105" t="s">
        <v>91</v>
      </c>
      <c r="G243" s="105" t="s">
        <v>281</v>
      </c>
    </row>
    <row r="244" spans="2:11" x14ac:dyDescent="0.2">
      <c r="D244" s="172" t="s">
        <v>1489</v>
      </c>
      <c r="E244" s="172" t="s">
        <v>1573</v>
      </c>
      <c r="F244" s="172" t="s">
        <v>1491</v>
      </c>
      <c r="G244" s="172" t="s">
        <v>1492</v>
      </c>
    </row>
    <row r="245" spans="2:11" x14ac:dyDescent="0.2">
      <c r="B245" s="169" t="s">
        <v>1470</v>
      </c>
      <c r="C245" s="169" t="s">
        <v>1471</v>
      </c>
      <c r="D245" s="169" t="s">
        <v>1472</v>
      </c>
      <c r="E245" s="169" t="s">
        <v>1473</v>
      </c>
      <c r="F245" s="169" t="s">
        <v>1474</v>
      </c>
      <c r="G245" s="169" t="s">
        <v>1475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3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1574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1575</v>
      </c>
    </row>
    <row r="262" spans="1:8" x14ac:dyDescent="0.2">
      <c r="A262" s="92" t="s">
        <v>1576</v>
      </c>
    </row>
    <row r="263" spans="1:8" x14ac:dyDescent="0.2">
      <c r="A263" s="92" t="s">
        <v>321</v>
      </c>
    </row>
    <row r="264" spans="1:8" x14ac:dyDescent="0.2">
      <c r="A264" s="92" t="s">
        <v>1496</v>
      </c>
    </row>
    <row r="265" spans="1:8" x14ac:dyDescent="0.2">
      <c r="A265" s="92" t="s">
        <v>1577</v>
      </c>
    </row>
    <row r="266" spans="1:8" x14ac:dyDescent="0.2">
      <c r="A266" s="92" t="s">
        <v>1578</v>
      </c>
    </row>
    <row r="267" spans="1:8" x14ac:dyDescent="0.2">
      <c r="A267" s="92" t="s">
        <v>1579</v>
      </c>
    </row>
    <row r="269" spans="1:8" x14ac:dyDescent="0.2">
      <c r="A269" s="92" t="s">
        <v>1580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1393</v>
      </c>
      <c r="C271" s="174">
        <f>-IPMT(0.7%,52,20*12,300000,0)</f>
        <v>1892.9869213033057</v>
      </c>
    </row>
    <row r="272" spans="1:8" x14ac:dyDescent="0.2">
      <c r="B272" s="92" t="s">
        <v>1395</v>
      </c>
      <c r="C272" s="174">
        <f>PV(0.7%,20*12-74,-C269,0)</f>
        <v>253234.73111197984</v>
      </c>
    </row>
    <row r="274" spans="1:8" x14ac:dyDescent="0.2">
      <c r="A274" s="167" t="s">
        <v>1581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1582</v>
      </c>
    </row>
    <row r="276" spans="1:8" x14ac:dyDescent="0.2">
      <c r="A276" s="92" t="s">
        <v>1583</v>
      </c>
    </row>
    <row r="277" spans="1:8" x14ac:dyDescent="0.2">
      <c r="A277" s="92" t="s">
        <v>321</v>
      </c>
    </row>
    <row r="278" spans="1:8" x14ac:dyDescent="0.2">
      <c r="A278" s="92" t="s">
        <v>1584</v>
      </c>
    </row>
    <row r="279" spans="1:8" x14ac:dyDescent="0.2">
      <c r="A279" s="92" t="s">
        <v>1585</v>
      </c>
    </row>
    <row r="280" spans="1:8" x14ac:dyDescent="0.2">
      <c r="A280" s="92" t="s">
        <v>1586</v>
      </c>
    </row>
    <row r="281" spans="1:8" x14ac:dyDescent="0.2">
      <c r="A281" s="92" t="s">
        <v>1587</v>
      </c>
    </row>
    <row r="283" spans="1:8" x14ac:dyDescent="0.2">
      <c r="A283" s="92" t="s">
        <v>1588</v>
      </c>
    </row>
    <row r="285" spans="1:8" x14ac:dyDescent="0.2">
      <c r="C285" s="172" t="s">
        <v>1489</v>
      </c>
      <c r="D285" s="172" t="s">
        <v>1573</v>
      </c>
      <c r="E285" s="172" t="s">
        <v>1491</v>
      </c>
      <c r="F285" s="172" t="s">
        <v>1492</v>
      </c>
    </row>
    <row r="286" spans="1:8" x14ac:dyDescent="0.2">
      <c r="A286" s="169" t="s">
        <v>1470</v>
      </c>
      <c r="B286" s="169" t="s">
        <v>1471</v>
      </c>
      <c r="C286" s="169" t="s">
        <v>1472</v>
      </c>
      <c r="D286" s="169" t="s">
        <v>1473</v>
      </c>
      <c r="E286" s="169" t="s">
        <v>1474</v>
      </c>
      <c r="F286" s="169" t="s">
        <v>1475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1589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1590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1591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1592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1593</v>
      </c>
    </row>
    <row r="301" spans="1:8" x14ac:dyDescent="0.2">
      <c r="A301" s="92" t="s">
        <v>1594</v>
      </c>
    </row>
    <row r="302" spans="1:8" x14ac:dyDescent="0.2">
      <c r="A302" s="92" t="s">
        <v>321</v>
      </c>
    </row>
    <row r="303" spans="1:8" x14ac:dyDescent="0.2">
      <c r="A303" s="92" t="s">
        <v>1595</v>
      </c>
    </row>
    <row r="304" spans="1:8" x14ac:dyDescent="0.2">
      <c r="A304" s="92" t="s">
        <v>1596</v>
      </c>
    </row>
    <row r="305" spans="1:7" x14ac:dyDescent="0.2">
      <c r="A305" s="92" t="s">
        <v>1597</v>
      </c>
    </row>
    <row r="306" spans="1:7" x14ac:dyDescent="0.2">
      <c r="A306" s="92" t="s">
        <v>1598</v>
      </c>
    </row>
    <row r="307" spans="1:7" x14ac:dyDescent="0.2">
      <c r="A307" s="92" t="s">
        <v>1599</v>
      </c>
    </row>
    <row r="309" spans="1:7" x14ac:dyDescent="0.2">
      <c r="A309" s="92" t="s">
        <v>111</v>
      </c>
    </row>
    <row r="311" spans="1:7" x14ac:dyDescent="0.2">
      <c r="A311" s="92" t="s">
        <v>1089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696</v>
      </c>
      <c r="B318" s="92" t="s">
        <v>564</v>
      </c>
      <c r="C318" s="92" t="s">
        <v>1471</v>
      </c>
      <c r="D318" s="92" t="s">
        <v>1472</v>
      </c>
      <c r="E318" s="92" t="s">
        <v>1473</v>
      </c>
      <c r="F318" s="92" t="s">
        <v>1474</v>
      </c>
      <c r="G318" s="92" t="s">
        <v>1475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5">
        <f t="shared" ref="C321:C325" si="29">G320</f>
        <v>431842.30688549508</v>
      </c>
      <c r="D321" s="109">
        <f t="shared" ref="D321:D325" si="30">F321-E321</f>
        <v>73610.308563665312</v>
      </c>
      <c r="E321" s="515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5">
        <f t="shared" si="29"/>
        <v>358231.99832182977</v>
      </c>
      <c r="D322" s="109">
        <f t="shared" si="30"/>
        <v>79499.133248758531</v>
      </c>
      <c r="E322" s="515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5">
        <f t="shared" si="29"/>
        <v>278732.86507307121</v>
      </c>
      <c r="D323" s="109">
        <f t="shared" si="30"/>
        <v>85859.063908659213</v>
      </c>
      <c r="E323" s="515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5">
        <f t="shared" si="29"/>
        <v>192873.801164412</v>
      </c>
      <c r="D324" s="109">
        <f t="shared" si="30"/>
        <v>92727.789021351957</v>
      </c>
      <c r="E324" s="515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5">
        <f t="shared" si="29"/>
        <v>100146.01214306004</v>
      </c>
      <c r="D325" s="109">
        <f t="shared" si="30"/>
        <v>100146.01214306011</v>
      </c>
      <c r="E325" s="515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1093</v>
      </c>
      <c r="B327" s="92" t="s">
        <v>1600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1601</v>
      </c>
      <c r="F329" s="516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1602</v>
      </c>
      <c r="B333" s="92" t="s">
        <v>1603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1513</v>
      </c>
    </row>
    <row r="338" spans="1:8" x14ac:dyDescent="0.2">
      <c r="E338" s="92" t="s">
        <v>1601</v>
      </c>
      <c r="F338" s="106">
        <f>PPMT(F333,F337,F334,F335,F336)</f>
        <v>-79499.133248758517</v>
      </c>
      <c r="G338" s="92" t="s">
        <v>1515</v>
      </c>
    </row>
    <row r="340" spans="1:8" x14ac:dyDescent="0.2">
      <c r="A340" s="92" t="s">
        <v>1604</v>
      </c>
      <c r="B340" s="92" t="s">
        <v>1605</v>
      </c>
    </row>
    <row r="341" spans="1:8" x14ac:dyDescent="0.2">
      <c r="F341" s="109">
        <f>F325*6</f>
        <v>648946.1586870295</v>
      </c>
      <c r="G341" s="92" t="s">
        <v>1606</v>
      </c>
    </row>
    <row r="342" spans="1:8" x14ac:dyDescent="0.2">
      <c r="B342" s="92" t="s">
        <v>1607</v>
      </c>
    </row>
    <row r="343" spans="1:8" x14ac:dyDescent="0.2">
      <c r="F343" s="109">
        <f>F335</f>
        <v>500000</v>
      </c>
    </row>
    <row r="345" spans="1:8" x14ac:dyDescent="0.2">
      <c r="B345" s="92" t="s">
        <v>1608</v>
      </c>
      <c r="F345" s="109">
        <f>F341-F343</f>
        <v>148946.1586870295</v>
      </c>
    </row>
    <row r="347" spans="1:8" x14ac:dyDescent="0.2">
      <c r="B347" s="92" t="s">
        <v>1609</v>
      </c>
    </row>
    <row r="348" spans="1:8" x14ac:dyDescent="0.2">
      <c r="B348" s="92" t="s">
        <v>1610</v>
      </c>
    </row>
    <row r="351" spans="1:8" x14ac:dyDescent="0.2">
      <c r="A351" s="167" t="s">
        <v>1611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1612</v>
      </c>
    </row>
    <row r="353" spans="1:5" x14ac:dyDescent="0.2">
      <c r="A353" s="92" t="s">
        <v>1613</v>
      </c>
    </row>
    <row r="355" spans="1:5" x14ac:dyDescent="0.2">
      <c r="A355" s="92" t="s">
        <v>321</v>
      </c>
    </row>
    <row r="356" spans="1:5" x14ac:dyDescent="0.2">
      <c r="A356" s="92" t="s">
        <v>1614</v>
      </c>
    </row>
    <row r="357" spans="1:5" x14ac:dyDescent="0.2">
      <c r="A357" s="92" t="s">
        <v>1615</v>
      </c>
    </row>
    <row r="358" spans="1:5" x14ac:dyDescent="0.2">
      <c r="A358" s="92" t="s">
        <v>1616</v>
      </c>
    </row>
    <row r="360" spans="1:5" x14ac:dyDescent="0.2">
      <c r="A360" s="92" t="s">
        <v>1089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1091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6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1093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1617</v>
      </c>
      <c r="D376" s="105">
        <v>32</v>
      </c>
      <c r="E376" s="92" t="s">
        <v>1513</v>
      </c>
    </row>
    <row r="377" spans="1:8" x14ac:dyDescent="0.2">
      <c r="A377" s="106">
        <f>IPMT(D372,D376,D373,D374,D375)</f>
        <v>-4036.4912115799607</v>
      </c>
      <c r="B377" s="92" t="s">
        <v>1618</v>
      </c>
      <c r="D377" s="106">
        <f>PPMT(D372,D376,D373,D374,D375)</f>
        <v>-913.56650974817819</v>
      </c>
      <c r="E377" s="92" t="s">
        <v>1515</v>
      </c>
    </row>
    <row r="378" spans="1:8" x14ac:dyDescent="0.2">
      <c r="D378" s="92" t="s">
        <v>1619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1620</v>
      </c>
    </row>
    <row r="382" spans="1:8" x14ac:dyDescent="0.2">
      <c r="A382" s="92" t="s">
        <v>1621</v>
      </c>
    </row>
    <row r="383" spans="1:8" x14ac:dyDescent="0.2">
      <c r="A383" s="92" t="s">
        <v>321</v>
      </c>
    </row>
    <row r="384" spans="1:8" x14ac:dyDescent="0.2">
      <c r="A384" s="92" t="s">
        <v>1622</v>
      </c>
    </row>
    <row r="385" spans="1:7" x14ac:dyDescent="0.2">
      <c r="A385" s="92" t="s">
        <v>1623</v>
      </c>
    </row>
    <row r="387" spans="1:7" x14ac:dyDescent="0.2">
      <c r="A387" s="92" t="s">
        <v>111</v>
      </c>
    </row>
    <row r="389" spans="1:7" x14ac:dyDescent="0.2">
      <c r="A389" s="92" t="s">
        <v>2875</v>
      </c>
    </row>
    <row r="390" spans="1:7" x14ac:dyDescent="0.2">
      <c r="A390" s="92" t="s">
        <v>2876</v>
      </c>
      <c r="G390" s="92" t="s">
        <v>2872</v>
      </c>
    </row>
    <row r="391" spans="1:7" x14ac:dyDescent="0.2">
      <c r="A391" s="92" t="s">
        <v>2877</v>
      </c>
    </row>
    <row r="392" spans="1:7" x14ac:dyDescent="0.2">
      <c r="A392" s="92" t="s">
        <v>2883</v>
      </c>
      <c r="G392" s="92" t="s">
        <v>2878</v>
      </c>
    </row>
    <row r="394" spans="1:7" x14ac:dyDescent="0.2">
      <c r="A394" s="92" t="s">
        <v>1089</v>
      </c>
      <c r="B394" s="92" t="s">
        <v>1624</v>
      </c>
      <c r="D394" s="517">
        <f>150000/7</f>
        <v>21428.571428571428</v>
      </c>
      <c r="E394" s="92" t="s">
        <v>1625</v>
      </c>
      <c r="G394" s="92" t="s">
        <v>2879</v>
      </c>
    </row>
    <row r="395" spans="1:7" x14ac:dyDescent="0.2">
      <c r="B395" s="92" t="s">
        <v>1626</v>
      </c>
      <c r="D395" s="92">
        <v>4</v>
      </c>
    </row>
    <row r="396" spans="1:7" x14ac:dyDescent="0.2">
      <c r="B396" s="92" t="s">
        <v>1627</v>
      </c>
      <c r="D396" s="517">
        <f>D394*D395</f>
        <v>85714.28571428571</v>
      </c>
      <c r="F396" s="92" t="s">
        <v>1628</v>
      </c>
      <c r="G396" s="92" t="s">
        <v>2880</v>
      </c>
    </row>
    <row r="398" spans="1:7" x14ac:dyDescent="0.2">
      <c r="B398" s="92" t="s">
        <v>1629</v>
      </c>
      <c r="D398" s="109">
        <v>150000</v>
      </c>
      <c r="G398" s="92" t="s">
        <v>2881</v>
      </c>
    </row>
    <row r="399" spans="1:7" x14ac:dyDescent="0.2">
      <c r="B399" s="92" t="s">
        <v>1630</v>
      </c>
      <c r="D399" s="517">
        <f>D396</f>
        <v>85714.28571428571</v>
      </c>
      <c r="G399" s="92" t="s">
        <v>2880</v>
      </c>
    </row>
    <row r="400" spans="1:7" x14ac:dyDescent="0.2">
      <c r="B400" s="92" t="s">
        <v>1631</v>
      </c>
      <c r="D400" s="518">
        <f>D398-D399</f>
        <v>64285.71428571429</v>
      </c>
      <c r="G400" s="92" t="s">
        <v>2882</v>
      </c>
    </row>
    <row r="402" spans="1:5" x14ac:dyDescent="0.2">
      <c r="A402" s="92" t="s">
        <v>1091</v>
      </c>
      <c r="B402" s="92" t="s">
        <v>1632</v>
      </c>
    </row>
    <row r="403" spans="1:5" x14ac:dyDescent="0.2">
      <c r="B403" s="92" t="s">
        <v>1633</v>
      </c>
    </row>
    <row r="405" spans="1:5" x14ac:dyDescent="0.2">
      <c r="B405" s="92" t="s">
        <v>1624</v>
      </c>
      <c r="D405" s="517">
        <f>150000/7</f>
        <v>21428.571428571428</v>
      </c>
      <c r="E405" s="92" t="s">
        <v>1625</v>
      </c>
    </row>
    <row r="406" spans="1:5" x14ac:dyDescent="0.2">
      <c r="B406" s="92" t="s">
        <v>1626</v>
      </c>
      <c r="D406" s="92">
        <v>6</v>
      </c>
    </row>
    <row r="407" spans="1:5" x14ac:dyDescent="0.2">
      <c r="B407" s="92" t="s">
        <v>1627</v>
      </c>
      <c r="D407" s="517">
        <f>D405*D406</f>
        <v>128571.42857142857</v>
      </c>
    </row>
    <row r="409" spans="1:5" x14ac:dyDescent="0.2">
      <c r="B409" s="92" t="s">
        <v>1629</v>
      </c>
      <c r="D409" s="109">
        <v>150000</v>
      </c>
    </row>
    <row r="410" spans="1:5" x14ac:dyDescent="0.2">
      <c r="B410" s="92" t="s">
        <v>1630</v>
      </c>
      <c r="D410" s="517">
        <f>D407</f>
        <v>128571.42857142857</v>
      </c>
    </row>
    <row r="411" spans="1:5" x14ac:dyDescent="0.2">
      <c r="B411" s="92" t="s">
        <v>1634</v>
      </c>
      <c r="D411" s="519">
        <f>D409-D410</f>
        <v>21428.571428571435</v>
      </c>
      <c r="E411" s="92" t="s">
        <v>1635</v>
      </c>
    </row>
    <row r="413" spans="1:5" x14ac:dyDescent="0.2">
      <c r="B413" s="92" t="s">
        <v>1636</v>
      </c>
      <c r="D413" s="132">
        <v>0.06</v>
      </c>
    </row>
    <row r="415" spans="1:5" x14ac:dyDescent="0.2">
      <c r="B415" s="92" t="s">
        <v>1637</v>
      </c>
      <c r="D415" s="518">
        <f>D411*D413</f>
        <v>1285.714285714286</v>
      </c>
      <c r="E415" s="92" t="s">
        <v>316</v>
      </c>
    </row>
    <row r="417" spans="1:8" x14ac:dyDescent="0.2">
      <c r="A417" s="92" t="s">
        <v>2884</v>
      </c>
      <c r="C417" s="663">
        <f>(150000-150000/7*6)*6%</f>
        <v>1285.714285714286</v>
      </c>
    </row>
    <row r="419" spans="1:8" x14ac:dyDescent="0.2">
      <c r="A419" s="92" t="s">
        <v>2885</v>
      </c>
    </row>
    <row r="425" spans="1:8" x14ac:dyDescent="0.2">
      <c r="A425" s="167" t="s">
        <v>1638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1639</v>
      </c>
    </row>
    <row r="427" spans="1:8" x14ac:dyDescent="0.2">
      <c r="A427" s="92" t="s">
        <v>1640</v>
      </c>
    </row>
    <row r="428" spans="1:8" x14ac:dyDescent="0.2">
      <c r="A428" s="92" t="s">
        <v>1641</v>
      </c>
    </row>
    <row r="429" spans="1:8" x14ac:dyDescent="0.2">
      <c r="A429" s="92" t="s">
        <v>1642</v>
      </c>
    </row>
    <row r="430" spans="1:8" x14ac:dyDescent="0.2">
      <c r="A430" s="92" t="s">
        <v>1643</v>
      </c>
    </row>
    <row r="432" spans="1:8" x14ac:dyDescent="0.2">
      <c r="A432" s="92" t="s">
        <v>321</v>
      </c>
    </row>
    <row r="433" spans="1:5" x14ac:dyDescent="0.2">
      <c r="A433" s="92" t="s">
        <v>1644</v>
      </c>
    </row>
    <row r="434" spans="1:5" x14ac:dyDescent="0.2">
      <c r="A434" s="92" t="s">
        <v>1645</v>
      </c>
    </row>
    <row r="435" spans="1:5" x14ac:dyDescent="0.2">
      <c r="A435" s="92" t="s">
        <v>1646</v>
      </c>
    </row>
    <row r="437" spans="1:5" x14ac:dyDescent="0.2">
      <c r="A437" s="92" t="s">
        <v>111</v>
      </c>
    </row>
    <row r="439" spans="1:5" x14ac:dyDescent="0.2">
      <c r="A439" s="92" t="s">
        <v>1647</v>
      </c>
    </row>
    <row r="440" spans="1:5" x14ac:dyDescent="0.2">
      <c r="A440" s="92" t="s">
        <v>1648</v>
      </c>
    </row>
    <row r="442" spans="1:5" x14ac:dyDescent="0.2">
      <c r="A442" s="92" t="s">
        <v>1649</v>
      </c>
    </row>
    <row r="443" spans="1:5" x14ac:dyDescent="0.2">
      <c r="A443" s="92" t="s">
        <v>1650</v>
      </c>
    </row>
    <row r="444" spans="1:5" x14ac:dyDescent="0.2">
      <c r="A444" s="92" t="s">
        <v>1651</v>
      </c>
    </row>
    <row r="445" spans="1:5" x14ac:dyDescent="0.2">
      <c r="A445" s="92" t="s">
        <v>1652</v>
      </c>
      <c r="E445" s="92" t="s">
        <v>1653</v>
      </c>
    </row>
    <row r="446" spans="1:5" x14ac:dyDescent="0.2">
      <c r="E446" s="92" t="s">
        <v>1654</v>
      </c>
    </row>
    <row r="448" spans="1:5" x14ac:dyDescent="0.2">
      <c r="A448" s="92" t="s">
        <v>1655</v>
      </c>
    </row>
    <row r="449" spans="1:6" x14ac:dyDescent="0.2">
      <c r="A449" s="92" t="s">
        <v>1656</v>
      </c>
    </row>
    <row r="451" spans="1:6" x14ac:dyDescent="0.2">
      <c r="A451" s="92" t="s">
        <v>1657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1658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1659</v>
      </c>
    </row>
    <row r="460" spans="1:6" x14ac:dyDescent="0.2">
      <c r="A460" s="92" t="s">
        <v>1660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6">
        <f>PV(D462,D463,D465,D466)</f>
        <v>73553.823520370905</v>
      </c>
      <c r="E464" s="92" t="s">
        <v>281</v>
      </c>
      <c r="F464" s="92" t="s">
        <v>1661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1662</v>
      </c>
    </row>
    <row r="469" spans="1:6" x14ac:dyDescent="0.2">
      <c r="A469" s="92" t="s">
        <v>1663</v>
      </c>
    </row>
    <row r="470" spans="1:6" x14ac:dyDescent="0.2">
      <c r="A470" s="92" t="s">
        <v>1664</v>
      </c>
    </row>
    <row r="471" spans="1:6" x14ac:dyDescent="0.2">
      <c r="A471" s="92" t="s">
        <v>1665</v>
      </c>
    </row>
    <row r="472" spans="1:6" x14ac:dyDescent="0.2">
      <c r="A472" s="92" t="s">
        <v>1666</v>
      </c>
      <c r="C472" s="305">
        <f>500000*1.01^5</f>
        <v>525505.02504999994</v>
      </c>
      <c r="E472" s="92" t="s">
        <v>1667</v>
      </c>
    </row>
    <row r="474" spans="1:6" x14ac:dyDescent="0.2">
      <c r="A474" s="92" t="s">
        <v>1668</v>
      </c>
    </row>
    <row r="475" spans="1:6" x14ac:dyDescent="0.2">
      <c r="A475" s="92" t="s">
        <v>1669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6" t="s">
        <v>2886</v>
      </c>
      <c r="B1" s="706"/>
      <c r="C1" s="706"/>
      <c r="D1" s="706"/>
      <c r="E1" s="706"/>
      <c r="F1" s="706"/>
      <c r="G1" s="706"/>
      <c r="H1" s="706"/>
    </row>
    <row r="3" spans="1:8" x14ac:dyDescent="0.2">
      <c r="A3" s="178" t="s">
        <v>1670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1671</v>
      </c>
    </row>
    <row r="5" spans="1:8" x14ac:dyDescent="0.2">
      <c r="A5" s="43" t="s">
        <v>1672</v>
      </c>
    </row>
    <row r="6" spans="1:8" x14ac:dyDescent="0.2">
      <c r="A6" s="43" t="s">
        <v>1673</v>
      </c>
    </row>
    <row r="8" spans="1:8" x14ac:dyDescent="0.2">
      <c r="A8" s="179" t="s">
        <v>1674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1675</v>
      </c>
    </row>
    <row r="10" spans="1:8" x14ac:dyDescent="0.2">
      <c r="A10" s="43" t="s">
        <v>1676</v>
      </c>
    </row>
    <row r="11" spans="1:8" x14ac:dyDescent="0.2">
      <c r="A11" s="43" t="s">
        <v>1677</v>
      </c>
    </row>
    <row r="12" spans="1:8" x14ac:dyDescent="0.2">
      <c r="A12" s="43" t="s">
        <v>1678</v>
      </c>
    </row>
    <row r="14" spans="1:8" x14ac:dyDescent="0.2">
      <c r="A14" s="179" t="s">
        <v>1679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1680</v>
      </c>
    </row>
    <row r="25" spans="1:2" x14ac:dyDescent="0.2">
      <c r="A25" s="43" t="s">
        <v>65</v>
      </c>
    </row>
    <row r="26" spans="1:2" x14ac:dyDescent="0.2">
      <c r="A26" s="47" t="s">
        <v>1489</v>
      </c>
      <c r="B26" s="43" t="s">
        <v>1681</v>
      </c>
    </row>
    <row r="27" spans="1:2" x14ac:dyDescent="0.2">
      <c r="A27" s="47" t="s">
        <v>1682</v>
      </c>
      <c r="B27" s="43" t="s">
        <v>1547</v>
      </c>
    </row>
    <row r="28" spans="1:2" x14ac:dyDescent="0.2">
      <c r="A28" s="47" t="s">
        <v>69</v>
      </c>
      <c r="B28" s="43" t="s">
        <v>1683</v>
      </c>
    </row>
    <row r="29" spans="1:2" x14ac:dyDescent="0.2">
      <c r="A29" s="47" t="s">
        <v>1684</v>
      </c>
      <c r="B29" s="43" t="s">
        <v>1685</v>
      </c>
    </row>
    <row r="30" spans="1:2" x14ac:dyDescent="0.2">
      <c r="A30" s="47" t="s">
        <v>1686</v>
      </c>
      <c r="B30" s="43" t="s">
        <v>1687</v>
      </c>
    </row>
    <row r="31" spans="1:2" x14ac:dyDescent="0.2">
      <c r="A31" s="47" t="s">
        <v>1688</v>
      </c>
      <c r="B31" s="43" t="s">
        <v>1689</v>
      </c>
    </row>
    <row r="32" spans="1:2" x14ac:dyDescent="0.2">
      <c r="A32" s="47" t="s">
        <v>1690</v>
      </c>
      <c r="B32" s="43" t="s">
        <v>1691</v>
      </c>
    </row>
    <row r="35" spans="1:8" x14ac:dyDescent="0.2">
      <c r="A35" s="180" t="s">
        <v>2889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2888</v>
      </c>
    </row>
    <row r="37" spans="1:8" x14ac:dyDescent="0.2">
      <c r="A37" s="43" t="s">
        <v>2890</v>
      </c>
    </row>
    <row r="38" spans="1:8" x14ac:dyDescent="0.2">
      <c r="A38" s="43" t="s">
        <v>2887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2891</v>
      </c>
    </row>
    <row r="43" spans="1:8" x14ac:dyDescent="0.2">
      <c r="A43" s="43" t="s">
        <v>2892</v>
      </c>
    </row>
    <row r="44" spans="1:8" x14ac:dyDescent="0.2">
      <c r="A44" s="43" t="s">
        <v>2893</v>
      </c>
    </row>
    <row r="45" spans="1:8" x14ac:dyDescent="0.2">
      <c r="A45" s="43" t="s">
        <v>2894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2895</v>
      </c>
    </row>
    <row r="52" spans="1:8" x14ac:dyDescent="0.2">
      <c r="A52" s="43" t="s">
        <v>2896</v>
      </c>
    </row>
    <row r="53" spans="1:8" x14ac:dyDescent="0.2">
      <c r="A53" s="43" t="s">
        <v>2897</v>
      </c>
    </row>
    <row r="54" spans="1:8" x14ac:dyDescent="0.2">
      <c r="A54" s="43" t="s">
        <v>2898</v>
      </c>
    </row>
    <row r="55" spans="1:8" x14ac:dyDescent="0.2">
      <c r="A55" s="43" t="s">
        <v>2899</v>
      </c>
    </row>
    <row r="56" spans="1:8" x14ac:dyDescent="0.2">
      <c r="A56" s="43" t="s">
        <v>2900</v>
      </c>
    </row>
    <row r="58" spans="1:8" x14ac:dyDescent="0.2">
      <c r="A58" s="43" t="s">
        <v>2901</v>
      </c>
    </row>
    <row r="59" spans="1:8" x14ac:dyDescent="0.2">
      <c r="A59" s="43" t="s">
        <v>2902</v>
      </c>
    </row>
    <row r="61" spans="1:8" x14ac:dyDescent="0.2">
      <c r="A61" s="44" t="s">
        <v>2903</v>
      </c>
      <c r="B61" s="44"/>
      <c r="C61" s="44"/>
      <c r="D61" s="44"/>
      <c r="E61" s="44"/>
      <c r="F61" s="44"/>
    </row>
    <row r="62" spans="1:8" x14ac:dyDescent="0.2">
      <c r="A62" s="44" t="s">
        <v>2904</v>
      </c>
      <c r="B62" s="44"/>
      <c r="C62" s="44"/>
      <c r="D62" s="44"/>
      <c r="E62" s="44"/>
      <c r="F62" s="44" t="s">
        <v>2905</v>
      </c>
    </row>
    <row r="64" spans="1:8" ht="16" x14ac:dyDescent="0.2">
      <c r="A64" s="92"/>
      <c r="B64" s="92"/>
      <c r="C64" s="172" t="s">
        <v>1489</v>
      </c>
      <c r="D64" s="172" t="s">
        <v>1573</v>
      </c>
      <c r="E64" s="520" t="s">
        <v>1491</v>
      </c>
      <c r="F64" s="172" t="s">
        <v>1492</v>
      </c>
      <c r="H64" s="43" t="s">
        <v>1692</v>
      </c>
    </row>
    <row r="65" spans="1:10" ht="16" x14ac:dyDescent="0.2">
      <c r="A65" s="169" t="s">
        <v>1470</v>
      </c>
      <c r="B65" s="169" t="s">
        <v>1471</v>
      </c>
      <c r="C65" s="169" t="s">
        <v>1472</v>
      </c>
      <c r="D65" s="169" t="s">
        <v>1473</v>
      </c>
      <c r="E65" s="169" t="s">
        <v>1474</v>
      </c>
      <c r="F65" s="169" t="s">
        <v>1475</v>
      </c>
      <c r="H65" s="43" t="s">
        <v>1693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1694</v>
      </c>
      <c r="I66" s="59"/>
      <c r="J66" s="59"/>
    </row>
    <row r="67" spans="1:10" ht="16" x14ac:dyDescent="0.2">
      <c r="A67" s="184">
        <f>A66+1</f>
        <v>1</v>
      </c>
      <c r="B67" s="522">
        <f>F66</f>
        <v>150000</v>
      </c>
      <c r="C67" s="522">
        <f>E67-D67</f>
        <v>7096.3909810507521</v>
      </c>
      <c r="D67" s="522">
        <f>H68*B67</f>
        <v>1500</v>
      </c>
      <c r="E67" s="522">
        <f>-PMT(1%,12,150000,-60000)</f>
        <v>8596.3909810507521</v>
      </c>
      <c r="F67" s="522">
        <f>B67-C67</f>
        <v>142903.60901894924</v>
      </c>
    </row>
    <row r="68" spans="1:10" ht="16" x14ac:dyDescent="0.2">
      <c r="A68" s="184">
        <f t="shared" ref="A68:A78" si="0">A67+1</f>
        <v>2</v>
      </c>
      <c r="B68" s="522">
        <f t="shared" ref="B68:B78" si="1">F67</f>
        <v>142903.60901894924</v>
      </c>
      <c r="C68" s="522">
        <f>E68-D68</f>
        <v>7167.3548908612593</v>
      </c>
      <c r="D68" s="522">
        <f>1%*B68</f>
        <v>1429.0360901894924</v>
      </c>
      <c r="E68" s="522">
        <f>E67</f>
        <v>8596.3909810507521</v>
      </c>
      <c r="F68" s="522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2">
        <f t="shared" si="1"/>
        <v>135736.25412808798</v>
      </c>
      <c r="C69" s="522">
        <f t="shared" ref="C69:C78" si="3">E69-D69</f>
        <v>7239.0284397698724</v>
      </c>
      <c r="D69" s="522">
        <f t="shared" ref="D69:D78" si="4">1%*B69</f>
        <v>1357.3625412808799</v>
      </c>
      <c r="E69" s="522">
        <f>E68</f>
        <v>8596.3909810507521</v>
      </c>
      <c r="F69" s="522">
        <f t="shared" si="2"/>
        <v>128497.22568831811</v>
      </c>
      <c r="G69" s="43" t="s">
        <v>2906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2">
        <f t="shared" si="1"/>
        <v>128497.22568831811</v>
      </c>
      <c r="C70" s="522">
        <f t="shared" si="3"/>
        <v>7311.4187241675709</v>
      </c>
      <c r="D70" s="522">
        <f t="shared" si="4"/>
        <v>1284.9722568831812</v>
      </c>
      <c r="E70" s="522">
        <f>E69</f>
        <v>8596.3909810507521</v>
      </c>
      <c r="F70" s="522">
        <f t="shared" si="2"/>
        <v>121185.80696415054</v>
      </c>
      <c r="G70" s="43" t="s">
        <v>2382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2">
        <f t="shared" si="1"/>
        <v>121185.80696415054</v>
      </c>
      <c r="C71" s="522">
        <f t="shared" si="3"/>
        <v>7384.5329114092465</v>
      </c>
      <c r="D71" s="522">
        <f t="shared" si="4"/>
        <v>1211.8580696415054</v>
      </c>
      <c r="E71" s="522">
        <f t="shared" ref="E71:E77" si="5">E70</f>
        <v>8596.3909810507521</v>
      </c>
      <c r="F71" s="522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2">
        <f t="shared" si="1"/>
        <v>113801.2740527413</v>
      </c>
      <c r="C72" s="522">
        <f t="shared" si="3"/>
        <v>7458.3782405233396</v>
      </c>
      <c r="D72" s="522">
        <f t="shared" si="4"/>
        <v>1138.0127405274129</v>
      </c>
      <c r="E72" s="522">
        <f t="shared" si="5"/>
        <v>8596.3909810507521</v>
      </c>
      <c r="F72" s="522">
        <f t="shared" si="2"/>
        <v>106342.89581221796</v>
      </c>
      <c r="G72" s="43" t="s">
        <v>2907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2">
        <f t="shared" si="1"/>
        <v>106342.89581221796</v>
      </c>
      <c r="C73" s="522">
        <f t="shared" si="3"/>
        <v>7532.962022928572</v>
      </c>
      <c r="D73" s="522">
        <f t="shared" si="4"/>
        <v>1063.4289581221797</v>
      </c>
      <c r="E73" s="522">
        <f t="shared" si="5"/>
        <v>8596.3909810507521</v>
      </c>
      <c r="F73" s="522">
        <f t="shared" si="2"/>
        <v>98809.933789289382</v>
      </c>
    </row>
    <row r="74" spans="1:10" ht="16" x14ac:dyDescent="0.2">
      <c r="A74" s="184">
        <f t="shared" si="0"/>
        <v>8</v>
      </c>
      <c r="B74" s="522">
        <f t="shared" si="1"/>
        <v>98809.933789289382</v>
      </c>
      <c r="C74" s="522">
        <f t="shared" si="3"/>
        <v>7608.2916431578578</v>
      </c>
      <c r="D74" s="522">
        <f t="shared" si="4"/>
        <v>988.0993378928938</v>
      </c>
      <c r="E74" s="522">
        <f t="shared" si="5"/>
        <v>8596.3909810507521</v>
      </c>
      <c r="F74" s="522">
        <f t="shared" si="2"/>
        <v>91201.642146131519</v>
      </c>
    </row>
    <row r="75" spans="1:10" ht="16" x14ac:dyDescent="0.2">
      <c r="A75" s="184">
        <f t="shared" si="0"/>
        <v>9</v>
      </c>
      <c r="B75" s="522">
        <f t="shared" si="1"/>
        <v>91201.642146131519</v>
      </c>
      <c r="C75" s="522">
        <f t="shared" si="3"/>
        <v>7684.374559589437</v>
      </c>
      <c r="D75" s="522">
        <f t="shared" si="4"/>
        <v>912.01642146131519</v>
      </c>
      <c r="E75" s="522">
        <f t="shared" si="5"/>
        <v>8596.3909810507521</v>
      </c>
      <c r="F75" s="522">
        <f t="shared" si="2"/>
        <v>83517.267586542075</v>
      </c>
    </row>
    <row r="76" spans="1:10" ht="16" x14ac:dyDescent="0.2">
      <c r="A76" s="184">
        <f t="shared" si="0"/>
        <v>10</v>
      </c>
      <c r="B76" s="522">
        <f t="shared" si="1"/>
        <v>83517.267586542075</v>
      </c>
      <c r="C76" s="522">
        <f t="shared" si="3"/>
        <v>7761.2183051853317</v>
      </c>
      <c r="D76" s="522">
        <f t="shared" si="4"/>
        <v>835.17267586542073</v>
      </c>
      <c r="E76" s="522">
        <f t="shared" si="5"/>
        <v>8596.3909810507521</v>
      </c>
      <c r="F76" s="522">
        <f t="shared" si="2"/>
        <v>75756.04928135674</v>
      </c>
    </row>
    <row r="77" spans="1:10" ht="16" x14ac:dyDescent="0.2">
      <c r="A77" s="184">
        <f t="shared" si="0"/>
        <v>11</v>
      </c>
      <c r="B77" s="522">
        <f t="shared" si="1"/>
        <v>75756.04928135674</v>
      </c>
      <c r="C77" s="522">
        <f t="shared" si="3"/>
        <v>7838.8304882371849</v>
      </c>
      <c r="D77" s="522">
        <f t="shared" si="4"/>
        <v>757.56049281356741</v>
      </c>
      <c r="E77" s="522">
        <f t="shared" si="5"/>
        <v>8596.3909810507521</v>
      </c>
      <c r="F77" s="522">
        <f t="shared" si="2"/>
        <v>67917.218793119551</v>
      </c>
    </row>
    <row r="78" spans="1:10" ht="16" x14ac:dyDescent="0.2">
      <c r="A78" s="184">
        <f t="shared" si="0"/>
        <v>12</v>
      </c>
      <c r="B78" s="522">
        <f t="shared" si="1"/>
        <v>67917.218793119551</v>
      </c>
      <c r="C78" s="522">
        <f t="shared" si="3"/>
        <v>67917.218793119551</v>
      </c>
      <c r="D78" s="522">
        <f t="shared" si="4"/>
        <v>679.17218793119548</v>
      </c>
      <c r="E78" s="523">
        <f>E77+60000</f>
        <v>68596.390981050747</v>
      </c>
      <c r="F78" s="522">
        <f t="shared" si="2"/>
        <v>0</v>
      </c>
    </row>
    <row r="79" spans="1:10" x14ac:dyDescent="0.2">
      <c r="A79" s="44"/>
    </row>
    <row r="80" spans="1:10" x14ac:dyDescent="0.2">
      <c r="A80" s="43" t="s">
        <v>2908</v>
      </c>
    </row>
    <row r="82" spans="1:8" x14ac:dyDescent="0.2">
      <c r="A82" s="191" t="s">
        <v>2909</v>
      </c>
      <c r="B82" s="192"/>
      <c r="C82" s="192"/>
      <c r="D82" s="192"/>
      <c r="E82" s="192"/>
      <c r="F82" s="193"/>
    </row>
    <row r="83" spans="1:8" x14ac:dyDescent="0.2">
      <c r="A83" s="196" t="s">
        <v>1695</v>
      </c>
      <c r="B83" s="59"/>
      <c r="C83" s="59"/>
      <c r="D83" s="59"/>
      <c r="E83" s="59"/>
      <c r="F83" s="197"/>
    </row>
    <row r="85" spans="1:8" x14ac:dyDescent="0.2">
      <c r="A85" s="198" t="s">
        <v>1696</v>
      </c>
      <c r="B85" s="199"/>
      <c r="C85" s="199"/>
      <c r="D85" s="199"/>
      <c r="E85" s="199"/>
      <c r="F85" s="200"/>
    </row>
    <row r="88" spans="1:8" x14ac:dyDescent="0.2">
      <c r="A88" s="180" t="s">
        <v>2912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1697</v>
      </c>
    </row>
    <row r="90" spans="1:8" x14ac:dyDescent="0.2">
      <c r="A90" s="43" t="s">
        <v>321</v>
      </c>
    </row>
    <row r="91" spans="1:8" x14ac:dyDescent="0.2">
      <c r="A91" s="43" t="s">
        <v>1698</v>
      </c>
    </row>
    <row r="92" spans="1:8" x14ac:dyDescent="0.2">
      <c r="A92" s="43" t="s">
        <v>1699</v>
      </c>
    </row>
    <row r="93" spans="1:8" x14ac:dyDescent="0.2">
      <c r="A93" s="43" t="s">
        <v>1700</v>
      </c>
    </row>
    <row r="94" spans="1:8" x14ac:dyDescent="0.2">
      <c r="A94" s="43" t="s">
        <v>1701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2910</v>
      </c>
    </row>
    <row r="98" spans="1:6" x14ac:dyDescent="0.2">
      <c r="A98" s="43" t="s">
        <v>2911</v>
      </c>
    </row>
    <row r="100" spans="1:6" ht="16" x14ac:dyDescent="0.2">
      <c r="A100" s="92"/>
      <c r="B100" s="92"/>
      <c r="C100" s="172" t="s">
        <v>1489</v>
      </c>
      <c r="D100" s="172" t="s">
        <v>1573</v>
      </c>
      <c r="E100" s="172" t="s">
        <v>1491</v>
      </c>
      <c r="F100" s="172" t="s">
        <v>1492</v>
      </c>
    </row>
    <row r="101" spans="1:6" ht="16" x14ac:dyDescent="0.2">
      <c r="A101" s="169" t="s">
        <v>1470</v>
      </c>
      <c r="B101" s="169" t="s">
        <v>1471</v>
      </c>
      <c r="C101" s="169" t="s">
        <v>1472</v>
      </c>
      <c r="D101" s="169" t="s">
        <v>1473</v>
      </c>
      <c r="E101" s="169" t="s">
        <v>1474</v>
      </c>
      <c r="F101" s="169" t="s">
        <v>1475</v>
      </c>
    </row>
    <row r="102" spans="1:6" ht="16" x14ac:dyDescent="0.2">
      <c r="A102" s="184">
        <v>0</v>
      </c>
      <c r="B102" s="664"/>
      <c r="C102" s="664"/>
      <c r="D102" s="664"/>
      <c r="E102" s="664"/>
      <c r="F102" s="522">
        <v>100000</v>
      </c>
    </row>
    <row r="103" spans="1:6" ht="16" x14ac:dyDescent="0.2">
      <c r="A103" s="184">
        <f>A102+1</f>
        <v>1</v>
      </c>
      <c r="B103" s="522">
        <f>F102</f>
        <v>100000</v>
      </c>
      <c r="C103" s="522">
        <f>F102/10</f>
        <v>10000</v>
      </c>
      <c r="D103" s="522">
        <f>7%*B103</f>
        <v>7000.0000000000009</v>
      </c>
      <c r="E103" s="522">
        <f>C103+D103</f>
        <v>17000</v>
      </c>
      <c r="F103" s="522">
        <f>B103-C103</f>
        <v>90000</v>
      </c>
    </row>
    <row r="104" spans="1:6" ht="16" x14ac:dyDescent="0.2">
      <c r="A104" s="184">
        <f t="shared" ref="A104:A112" si="6">A103+1</f>
        <v>2</v>
      </c>
      <c r="B104" s="522">
        <f t="shared" ref="B104:B112" si="7">F103</f>
        <v>90000</v>
      </c>
      <c r="C104" s="522">
        <f>C103</f>
        <v>10000</v>
      </c>
      <c r="D104" s="522">
        <f t="shared" ref="D104:D112" si="8">7%*B104</f>
        <v>6300.0000000000009</v>
      </c>
      <c r="E104" s="522">
        <f t="shared" ref="E104:E112" si="9">C104+D104</f>
        <v>16300</v>
      </c>
      <c r="F104" s="522">
        <f t="shared" ref="F104:F112" si="10">B104-C104</f>
        <v>80000</v>
      </c>
    </row>
    <row r="105" spans="1:6" ht="16" x14ac:dyDescent="0.2">
      <c r="A105" s="184">
        <f t="shared" si="6"/>
        <v>3</v>
      </c>
      <c r="B105" s="522">
        <f t="shared" si="7"/>
        <v>80000</v>
      </c>
      <c r="C105" s="522">
        <f t="shared" ref="C105:C112" si="11">C104</f>
        <v>10000</v>
      </c>
      <c r="D105" s="665">
        <f t="shared" si="8"/>
        <v>5600.0000000000009</v>
      </c>
      <c r="E105" s="522">
        <f t="shared" si="9"/>
        <v>15600</v>
      </c>
      <c r="F105" s="522">
        <f t="shared" si="10"/>
        <v>70000</v>
      </c>
    </row>
    <row r="106" spans="1:6" ht="16" x14ac:dyDescent="0.2">
      <c r="A106" s="184">
        <f t="shared" si="6"/>
        <v>4</v>
      </c>
      <c r="B106" s="522">
        <f t="shared" si="7"/>
        <v>70000</v>
      </c>
      <c r="C106" s="522">
        <f t="shared" si="11"/>
        <v>10000</v>
      </c>
      <c r="D106" s="522">
        <f t="shared" si="8"/>
        <v>4900.0000000000009</v>
      </c>
      <c r="E106" s="522">
        <f t="shared" si="9"/>
        <v>14900</v>
      </c>
      <c r="F106" s="522">
        <f t="shared" si="10"/>
        <v>60000</v>
      </c>
    </row>
    <row r="107" spans="1:6" ht="16" x14ac:dyDescent="0.2">
      <c r="A107" s="184">
        <f t="shared" si="6"/>
        <v>5</v>
      </c>
      <c r="B107" s="522">
        <f t="shared" si="7"/>
        <v>60000</v>
      </c>
      <c r="C107" s="522">
        <f t="shared" si="11"/>
        <v>10000</v>
      </c>
      <c r="D107" s="522">
        <f t="shared" si="8"/>
        <v>4200</v>
      </c>
      <c r="E107" s="522">
        <f t="shared" si="9"/>
        <v>14200</v>
      </c>
      <c r="F107" s="522">
        <f t="shared" si="10"/>
        <v>50000</v>
      </c>
    </row>
    <row r="108" spans="1:6" ht="16" x14ac:dyDescent="0.2">
      <c r="A108" s="184">
        <f t="shared" si="6"/>
        <v>6</v>
      </c>
      <c r="B108" s="522">
        <f t="shared" si="7"/>
        <v>50000</v>
      </c>
      <c r="C108" s="522">
        <f t="shared" si="11"/>
        <v>10000</v>
      </c>
      <c r="D108" s="522">
        <f t="shared" si="8"/>
        <v>3500.0000000000005</v>
      </c>
      <c r="E108" s="522">
        <f t="shared" si="9"/>
        <v>13500</v>
      </c>
      <c r="F108" s="522">
        <f t="shared" si="10"/>
        <v>40000</v>
      </c>
    </row>
    <row r="109" spans="1:6" ht="16" x14ac:dyDescent="0.2">
      <c r="A109" s="184">
        <f t="shared" si="6"/>
        <v>7</v>
      </c>
      <c r="B109" s="522">
        <f t="shared" si="7"/>
        <v>40000</v>
      </c>
      <c r="C109" s="522">
        <f t="shared" si="11"/>
        <v>10000</v>
      </c>
      <c r="D109" s="665">
        <f t="shared" si="8"/>
        <v>2800.0000000000005</v>
      </c>
      <c r="E109" s="522">
        <f t="shared" si="9"/>
        <v>12800</v>
      </c>
      <c r="F109" s="522">
        <f t="shared" si="10"/>
        <v>30000</v>
      </c>
    </row>
    <row r="110" spans="1:6" ht="16" x14ac:dyDescent="0.2">
      <c r="A110" s="184">
        <f t="shared" si="6"/>
        <v>8</v>
      </c>
      <c r="B110" s="522">
        <f t="shared" si="7"/>
        <v>30000</v>
      </c>
      <c r="C110" s="522">
        <f t="shared" si="11"/>
        <v>10000</v>
      </c>
      <c r="D110" s="522">
        <f t="shared" si="8"/>
        <v>2100</v>
      </c>
      <c r="E110" s="665">
        <f t="shared" si="9"/>
        <v>12100</v>
      </c>
      <c r="F110" s="522">
        <f t="shared" si="10"/>
        <v>20000</v>
      </c>
    </row>
    <row r="111" spans="1:6" ht="16" x14ac:dyDescent="0.2">
      <c r="A111" s="184">
        <f t="shared" si="6"/>
        <v>9</v>
      </c>
      <c r="B111" s="522">
        <f t="shared" si="7"/>
        <v>20000</v>
      </c>
      <c r="C111" s="522">
        <f t="shared" si="11"/>
        <v>10000</v>
      </c>
      <c r="D111" s="522">
        <f t="shared" si="8"/>
        <v>1400.0000000000002</v>
      </c>
      <c r="E111" s="522">
        <f t="shared" si="9"/>
        <v>11400</v>
      </c>
      <c r="F111" s="522">
        <f t="shared" si="10"/>
        <v>10000</v>
      </c>
    </row>
    <row r="112" spans="1:6" ht="16" x14ac:dyDescent="0.2">
      <c r="A112" s="184">
        <f t="shared" si="6"/>
        <v>10</v>
      </c>
      <c r="B112" s="522">
        <f t="shared" si="7"/>
        <v>10000</v>
      </c>
      <c r="C112" s="522">
        <f t="shared" si="11"/>
        <v>10000</v>
      </c>
      <c r="D112" s="522">
        <f t="shared" si="8"/>
        <v>700.00000000000011</v>
      </c>
      <c r="E112" s="522">
        <f t="shared" si="9"/>
        <v>10700</v>
      </c>
      <c r="F112" s="522">
        <f t="shared" si="10"/>
        <v>0</v>
      </c>
    </row>
    <row r="114" spans="1:10" x14ac:dyDescent="0.2">
      <c r="A114" s="185" t="s">
        <v>1704</v>
      </c>
      <c r="B114" s="87"/>
      <c r="C114" s="87"/>
    </row>
    <row r="115" spans="1:10" x14ac:dyDescent="0.2">
      <c r="H115" s="47" t="s">
        <v>1489</v>
      </c>
      <c r="I115" s="47" t="s">
        <v>1702</v>
      </c>
      <c r="J115" s="47" t="s">
        <v>1703</v>
      </c>
    </row>
    <row r="116" spans="1:10" x14ac:dyDescent="0.2">
      <c r="A116" s="43" t="s">
        <v>1705</v>
      </c>
    </row>
    <row r="118" spans="1:10" x14ac:dyDescent="0.2">
      <c r="A118" s="43" t="s">
        <v>1706</v>
      </c>
    </row>
    <row r="120" spans="1:10" x14ac:dyDescent="0.2">
      <c r="A120" s="43" t="s">
        <v>1707</v>
      </c>
    </row>
    <row r="122" spans="1:10" x14ac:dyDescent="0.2">
      <c r="A122" s="43" t="s">
        <v>1708</v>
      </c>
    </row>
    <row r="125" spans="1:10" x14ac:dyDescent="0.2">
      <c r="A125" s="185" t="s">
        <v>1709</v>
      </c>
    </row>
    <row r="128" spans="1:10" x14ac:dyDescent="0.2">
      <c r="C128" s="713">
        <f>7%*30000+10000</f>
        <v>12100</v>
      </c>
    </row>
    <row r="129" spans="1:8" x14ac:dyDescent="0.2">
      <c r="C129" s="713"/>
    </row>
    <row r="131" spans="1:8" x14ac:dyDescent="0.2">
      <c r="A131" s="185" t="s">
        <v>1710</v>
      </c>
    </row>
    <row r="132" spans="1:8" x14ac:dyDescent="0.2">
      <c r="A132" s="43" t="s">
        <v>1711</v>
      </c>
    </row>
    <row r="138" spans="1:8" x14ac:dyDescent="0.2">
      <c r="A138" s="180" t="s">
        <v>2913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1712</v>
      </c>
    </row>
    <row r="140" spans="1:8" x14ac:dyDescent="0.2">
      <c r="A140" s="43" t="s">
        <v>1713</v>
      </c>
    </row>
    <row r="141" spans="1:8" x14ac:dyDescent="0.2">
      <c r="A141" s="43" t="s">
        <v>1714</v>
      </c>
    </row>
    <row r="142" spans="1:8" x14ac:dyDescent="0.2">
      <c r="A142" s="43" t="s">
        <v>1715</v>
      </c>
    </row>
    <row r="144" spans="1:8" x14ac:dyDescent="0.2">
      <c r="A144" s="44" t="s">
        <v>1716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1717</v>
      </c>
    </row>
    <row r="146" spans="1:6" x14ac:dyDescent="0.2">
      <c r="A146" s="43" t="s">
        <v>1718</v>
      </c>
    </row>
    <row r="148" spans="1:6" x14ac:dyDescent="0.2">
      <c r="A148" s="43" t="s">
        <v>2914</v>
      </c>
    </row>
    <row r="149" spans="1:6" x14ac:dyDescent="0.2">
      <c r="A149" s="43" t="s">
        <v>1719</v>
      </c>
    </row>
    <row r="150" spans="1:6" x14ac:dyDescent="0.2">
      <c r="A150" s="43" t="s">
        <v>1720</v>
      </c>
    </row>
    <row r="152" spans="1:6" x14ac:dyDescent="0.2">
      <c r="D152" s="316" t="s">
        <v>1721</v>
      </c>
      <c r="E152" s="316" t="s">
        <v>1722</v>
      </c>
    </row>
    <row r="153" spans="1:6" x14ac:dyDescent="0.2">
      <c r="D153" s="524" t="s">
        <v>1723</v>
      </c>
      <c r="E153" s="524" t="s">
        <v>1724</v>
      </c>
    </row>
    <row r="154" spans="1:6" x14ac:dyDescent="0.2">
      <c r="D154" s="442">
        <f>E154</f>
        <v>0.01</v>
      </c>
      <c r="E154" s="666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1601</v>
      </c>
      <c r="D157" s="667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4">
        <f>FV(E154,E155,E157,E156)</f>
        <v>-210202.01001999999</v>
      </c>
      <c r="F158" s="43" t="s">
        <v>105</v>
      </c>
    </row>
    <row r="160" spans="1:6" x14ac:dyDescent="0.2">
      <c r="A160" s="43" t="s">
        <v>1725</v>
      </c>
    </row>
    <row r="161" spans="1:8" ht="16" x14ac:dyDescent="0.2">
      <c r="A161" s="92"/>
      <c r="B161" s="92"/>
      <c r="C161" s="187" t="s">
        <v>1489</v>
      </c>
      <c r="D161" s="187" t="s">
        <v>1573</v>
      </c>
      <c r="E161" s="187" t="s">
        <v>1491</v>
      </c>
      <c r="F161" s="187" t="s">
        <v>1492</v>
      </c>
    </row>
    <row r="162" spans="1:8" ht="16" x14ac:dyDescent="0.2">
      <c r="A162" s="169" t="s">
        <v>1470</v>
      </c>
      <c r="B162" s="169" t="s">
        <v>1471</v>
      </c>
      <c r="C162" s="169" t="s">
        <v>1472</v>
      </c>
      <c r="D162" s="169" t="s">
        <v>1473</v>
      </c>
      <c r="E162" s="169" t="s">
        <v>1474</v>
      </c>
      <c r="F162" s="169" t="s">
        <v>1475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1726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1727</v>
      </c>
    </row>
    <row r="174" spans="1:8" x14ac:dyDescent="0.2">
      <c r="A174" s="43" t="s">
        <v>1728</v>
      </c>
    </row>
    <row r="175" spans="1:8" x14ac:dyDescent="0.2">
      <c r="A175" s="43" t="s">
        <v>1729</v>
      </c>
    </row>
    <row r="177" spans="1:6" x14ac:dyDescent="0.2">
      <c r="A177" s="43" t="s">
        <v>111</v>
      </c>
    </row>
    <row r="178" spans="1:6" x14ac:dyDescent="0.2">
      <c r="A178" s="43" t="s">
        <v>1730</v>
      </c>
    </row>
    <row r="179" spans="1:6" x14ac:dyDescent="0.2">
      <c r="A179" s="43" t="s">
        <v>1731</v>
      </c>
    </row>
    <row r="181" spans="1:6" x14ac:dyDescent="0.2">
      <c r="E181" s="316" t="s">
        <v>1722</v>
      </c>
    </row>
    <row r="182" spans="1:6" x14ac:dyDescent="0.2">
      <c r="E182" s="524" t="s">
        <v>1724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1732</v>
      </c>
      <c r="B187" s="67"/>
      <c r="C187" s="67"/>
      <c r="D187" s="67"/>
      <c r="E187" s="525">
        <f>FV(E183,E184,E186,E185)</f>
        <v>-210202.01001999999</v>
      </c>
      <c r="F187" s="208" t="s">
        <v>105</v>
      </c>
    </row>
    <row r="189" spans="1:6" x14ac:dyDescent="0.2">
      <c r="A189" s="43" t="s">
        <v>2915</v>
      </c>
    </row>
    <row r="191" spans="1:6" x14ac:dyDescent="0.2">
      <c r="A191" s="185" t="s">
        <v>1733</v>
      </c>
    </row>
    <row r="193" spans="1:7" x14ac:dyDescent="0.2">
      <c r="F193" s="43" t="s">
        <v>1734</v>
      </c>
    </row>
    <row r="194" spans="1:7" x14ac:dyDescent="0.2">
      <c r="A194" s="44" t="s">
        <v>196</v>
      </c>
      <c r="B194" s="44"/>
      <c r="C194" s="527">
        <f>210202*1%+210202/55</f>
        <v>5923.874545454546</v>
      </c>
      <c r="F194" s="43" t="s">
        <v>1735</v>
      </c>
    </row>
    <row r="196" spans="1:7" x14ac:dyDescent="0.2">
      <c r="D196" s="43" t="s">
        <v>2917</v>
      </c>
      <c r="F196" s="43" t="s">
        <v>2916</v>
      </c>
    </row>
    <row r="197" spans="1:7" x14ac:dyDescent="0.2">
      <c r="D197" s="43" t="s">
        <v>2918</v>
      </c>
    </row>
    <row r="199" spans="1:7" x14ac:dyDescent="0.2">
      <c r="A199" s="185" t="s">
        <v>1736</v>
      </c>
    </row>
    <row r="200" spans="1:7" x14ac:dyDescent="0.2">
      <c r="A200" s="43" t="s">
        <v>2919</v>
      </c>
    </row>
    <row r="202" spans="1:7" x14ac:dyDescent="0.2">
      <c r="F202" s="43" t="s">
        <v>1737</v>
      </c>
    </row>
    <row r="203" spans="1:7" x14ac:dyDescent="0.2">
      <c r="C203" s="526">
        <f>210202/55*52*1%+210202/55</f>
        <v>5809.2189090909096</v>
      </c>
      <c r="F203" s="43" t="s">
        <v>1738</v>
      </c>
    </row>
    <row r="205" spans="1:7" x14ac:dyDescent="0.2">
      <c r="C205" s="43" t="s">
        <v>2917</v>
      </c>
      <c r="E205" s="43" t="s">
        <v>2920</v>
      </c>
    </row>
    <row r="206" spans="1:7" x14ac:dyDescent="0.2">
      <c r="C206" s="43" t="s">
        <v>2928</v>
      </c>
      <c r="E206" s="43" t="s">
        <v>2921</v>
      </c>
    </row>
    <row r="207" spans="1:7" x14ac:dyDescent="0.2">
      <c r="C207" s="43" t="s">
        <v>2918</v>
      </c>
      <c r="E207" s="43" t="s">
        <v>2922</v>
      </c>
      <c r="G207" s="43" t="s">
        <v>2924</v>
      </c>
    </row>
    <row r="208" spans="1:7" x14ac:dyDescent="0.2">
      <c r="E208" s="43" t="s">
        <v>2923</v>
      </c>
      <c r="G208" s="43" t="s">
        <v>2925</v>
      </c>
    </row>
    <row r="209" spans="1:8" x14ac:dyDescent="0.2">
      <c r="E209" s="43" t="s">
        <v>2926</v>
      </c>
      <c r="G209" s="43" t="s">
        <v>2927</v>
      </c>
    </row>
    <row r="212" spans="1:8" x14ac:dyDescent="0.2">
      <c r="A212" s="43" t="s">
        <v>1739</v>
      </c>
    </row>
    <row r="213" spans="1:8" ht="16" x14ac:dyDescent="0.2">
      <c r="A213" s="92"/>
      <c r="B213" s="92"/>
      <c r="C213" s="187" t="s">
        <v>1489</v>
      </c>
      <c r="D213" s="187" t="s">
        <v>1573</v>
      </c>
      <c r="E213" s="187" t="s">
        <v>1491</v>
      </c>
      <c r="F213" s="187" t="s">
        <v>1492</v>
      </c>
    </row>
    <row r="214" spans="1:8" ht="16" x14ac:dyDescent="0.2">
      <c r="A214" s="169" t="s">
        <v>1470</v>
      </c>
      <c r="B214" s="169" t="s">
        <v>1471</v>
      </c>
      <c r="C214" s="169" t="s">
        <v>1472</v>
      </c>
      <c r="D214" s="169" t="s">
        <v>1473</v>
      </c>
      <c r="E214" s="169" t="s">
        <v>1474</v>
      </c>
      <c r="F214" s="169" t="s">
        <v>1475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1740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1741</v>
      </c>
    </row>
    <row r="226" spans="1:7" x14ac:dyDescent="0.2">
      <c r="A226" s="43" t="s">
        <v>1742</v>
      </c>
    </row>
    <row r="227" spans="1:7" x14ac:dyDescent="0.2">
      <c r="A227" s="43" t="s">
        <v>1743</v>
      </c>
    </row>
    <row r="229" spans="1:7" x14ac:dyDescent="0.2">
      <c r="A229" s="43" t="s">
        <v>111</v>
      </c>
    </row>
    <row r="230" spans="1:7" x14ac:dyDescent="0.2">
      <c r="A230" s="43" t="s">
        <v>2929</v>
      </c>
    </row>
    <row r="231" spans="1:7" x14ac:dyDescent="0.2">
      <c r="A231" s="43" t="s">
        <v>2930</v>
      </c>
    </row>
    <row r="233" spans="1:7" ht="34" x14ac:dyDescent="0.2">
      <c r="A233" s="92"/>
      <c r="B233" s="92"/>
      <c r="C233" s="187" t="s">
        <v>1489</v>
      </c>
      <c r="D233" s="188" t="s">
        <v>1744</v>
      </c>
      <c r="E233" s="187" t="s">
        <v>1491</v>
      </c>
      <c r="F233" s="187" t="s">
        <v>1492</v>
      </c>
    </row>
    <row r="234" spans="1:7" ht="16" x14ac:dyDescent="0.2">
      <c r="A234" s="169" t="s">
        <v>1470</v>
      </c>
      <c r="B234" s="169" t="s">
        <v>1471</v>
      </c>
      <c r="C234" s="169" t="s">
        <v>1472</v>
      </c>
      <c r="D234" s="169" t="s">
        <v>1473</v>
      </c>
      <c r="E234" s="169" t="s">
        <v>1474</v>
      </c>
      <c r="F234" s="169" t="s">
        <v>1475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2881</v>
      </c>
    </row>
    <row r="236" spans="1:7" ht="16" x14ac:dyDescent="0.2">
      <c r="A236" s="184">
        <f>A235+1</f>
        <v>1</v>
      </c>
      <c r="B236" s="522"/>
      <c r="C236" s="522">
        <v>0</v>
      </c>
      <c r="D236" s="522">
        <v>0</v>
      </c>
      <c r="E236" s="522">
        <v>0</v>
      </c>
      <c r="F236" s="522"/>
    </row>
    <row r="237" spans="1:7" ht="16" x14ac:dyDescent="0.2">
      <c r="A237" s="184">
        <f t="shared" ref="A237:A241" si="18">A236+1</f>
        <v>2</v>
      </c>
      <c r="B237" s="522"/>
      <c r="C237" s="522">
        <v>0</v>
      </c>
      <c r="D237" s="522">
        <v>0</v>
      </c>
      <c r="E237" s="522">
        <v>0</v>
      </c>
      <c r="F237" s="522"/>
    </row>
    <row r="238" spans="1:7" ht="16" x14ac:dyDescent="0.2">
      <c r="A238" s="184">
        <f t="shared" si="18"/>
        <v>3</v>
      </c>
      <c r="B238" s="522"/>
      <c r="C238" s="522">
        <v>0</v>
      </c>
      <c r="D238" s="522">
        <v>0</v>
      </c>
      <c r="E238" s="522">
        <v>0</v>
      </c>
      <c r="F238" s="522"/>
    </row>
    <row r="239" spans="1:7" ht="16" x14ac:dyDescent="0.2">
      <c r="A239" s="184">
        <f t="shared" si="18"/>
        <v>4</v>
      </c>
      <c r="B239" s="522"/>
      <c r="C239" s="522">
        <v>0</v>
      </c>
      <c r="D239" s="522">
        <v>0</v>
      </c>
      <c r="E239" s="522">
        <v>0</v>
      </c>
      <c r="F239" s="522"/>
    </row>
    <row r="240" spans="1:7" ht="16" x14ac:dyDescent="0.2">
      <c r="A240" s="184">
        <f t="shared" si="18"/>
        <v>5</v>
      </c>
      <c r="B240" s="522"/>
      <c r="C240" s="522">
        <v>0</v>
      </c>
      <c r="D240" s="522">
        <v>0</v>
      </c>
      <c r="E240" s="522">
        <v>0</v>
      </c>
      <c r="F240" s="522"/>
    </row>
    <row r="241" spans="1:9" ht="16" x14ac:dyDescent="0.2">
      <c r="A241" s="184">
        <f t="shared" si="18"/>
        <v>6</v>
      </c>
      <c r="B241" s="522"/>
      <c r="C241" s="522">
        <v>0</v>
      </c>
      <c r="D241" s="522">
        <v>0</v>
      </c>
      <c r="E241" s="522">
        <v>0</v>
      </c>
      <c r="F241" s="528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8">
        <v>1500000</v>
      </c>
      <c r="C242" s="522"/>
      <c r="D242" s="522">
        <v>15000</v>
      </c>
      <c r="E242" s="293"/>
      <c r="F242" s="522"/>
      <c r="I242" s="43" t="s">
        <v>2931</v>
      </c>
    </row>
    <row r="243" spans="1:9" x14ac:dyDescent="0.2">
      <c r="I243" s="43" t="s">
        <v>2932</v>
      </c>
    </row>
    <row r="244" spans="1:9" x14ac:dyDescent="0.2">
      <c r="A244" s="43" t="s">
        <v>1745</v>
      </c>
    </row>
    <row r="245" spans="1:9" x14ac:dyDescent="0.2">
      <c r="A245" s="43" t="s">
        <v>1746</v>
      </c>
    </row>
    <row r="250" spans="1:9" x14ac:dyDescent="0.2">
      <c r="A250" s="43" t="s">
        <v>1747</v>
      </c>
    </row>
    <row r="251" spans="1:9" x14ac:dyDescent="0.2">
      <c r="A251" s="43" t="s">
        <v>1748</v>
      </c>
    </row>
    <row r="252" spans="1:9" x14ac:dyDescent="0.2">
      <c r="A252" s="43" t="s">
        <v>1749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1750</v>
      </c>
      <c r="D255" s="47">
        <v>6</v>
      </c>
      <c r="E255" s="43" t="s">
        <v>89</v>
      </c>
    </row>
    <row r="256" spans="1:9" ht="16" x14ac:dyDescent="0.2">
      <c r="A256" s="43" t="s">
        <v>1751</v>
      </c>
      <c r="D256" s="190">
        <f>PV(D254,D255,D257,D258)</f>
        <v>-1413067.8528813098</v>
      </c>
      <c r="E256" s="43" t="s">
        <v>281</v>
      </c>
      <c r="F256" s="43" t="s">
        <v>1752</v>
      </c>
    </row>
    <row r="257" spans="1:7" x14ac:dyDescent="0.2">
      <c r="A257" s="43" t="s">
        <v>1753</v>
      </c>
      <c r="D257" s="47">
        <v>0</v>
      </c>
      <c r="E257" s="43" t="s">
        <v>91</v>
      </c>
    </row>
    <row r="258" spans="1:7" x14ac:dyDescent="0.2">
      <c r="A258" s="43" t="s">
        <v>1754</v>
      </c>
      <c r="D258" s="48">
        <f>F241</f>
        <v>1500000</v>
      </c>
      <c r="E258" s="43" t="s">
        <v>105</v>
      </c>
    </row>
    <row r="260" spans="1:7" x14ac:dyDescent="0.2">
      <c r="A260" s="191" t="s">
        <v>1755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1756</v>
      </c>
      <c r="G261" s="195"/>
    </row>
    <row r="262" spans="1:7" x14ac:dyDescent="0.2">
      <c r="A262" s="196" t="s">
        <v>1757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2933</v>
      </c>
      <c r="D266" s="43" t="s">
        <v>2934</v>
      </c>
      <c r="E266" s="43" t="s">
        <v>2938</v>
      </c>
    </row>
    <row r="267" spans="1:7" x14ac:dyDescent="0.2">
      <c r="D267" s="43" t="s">
        <v>2935</v>
      </c>
      <c r="E267" s="43" t="s">
        <v>2939</v>
      </c>
    </row>
    <row r="268" spans="1:7" x14ac:dyDescent="0.2">
      <c r="D268" s="43" t="s">
        <v>2936</v>
      </c>
      <c r="E268" s="43" t="s">
        <v>2940</v>
      </c>
    </row>
    <row r="269" spans="1:7" x14ac:dyDescent="0.2">
      <c r="D269" s="43" t="s">
        <v>2937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2025-04-09T09:24:15Z</dcterms:modified>
  <cp:category/>
  <cp:contentStatus/>
</cp:coreProperties>
</file>